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P&amp;L" sheetId="3" state="visible" r:id="rId5"/>
    <sheet name="Cash Flow" sheetId="4" state="visible" r:id="rId6"/>
    <sheet name="Comps" sheetId="5" state="visible" r:id="rId7"/>
    <sheet name="DCF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<sst xmlns="http://schemas.openxmlformats.org/spreadsheetml/2006/main" count="338" uniqueCount="319">
  <si>
    <t xml:space="preserve">VEEVA SYSTEMS (VEEV) — FINANCIAL MODEL</t>
  </si>
  <si>
    <t xml:space="preserve">Chapter 17 Practice Workbook  |  AgentFactory — Finance Domain Agents</t>
  </si>
  <si>
    <t xml:space="preserve">Company</t>
  </si>
  <si>
    <t xml:space="preserve">Veeva Systems Inc. (NYSE: VEEV)</t>
  </si>
  <si>
    <t xml:space="preserve">Description</t>
  </si>
  <si>
    <t xml:space="preserve">Leading SaaS provider for the global life sciences industry</t>
  </si>
  <si>
    <t xml:space="preserve">Fiscal Year</t>
  </si>
  <si>
    <t xml:space="preserve">Ends January 31  (e.g. FY2024 = Feb 2023 – Jan 2024)</t>
  </si>
  <si>
    <t xml:space="preserve">Scope</t>
  </si>
  <si>
    <t xml:space="preserve">FY2022A – FY2024A (actuals) | FY2025E – FY2026E (estimates)</t>
  </si>
  <si>
    <t xml:space="preserve">Sheets</t>
  </si>
  <si>
    <t xml:space="preserve">Cover → Assumptions → P&amp;L → Cash Flow → Comps → DCF</t>
  </si>
  <si>
    <t xml:space="preserve">Data</t>
  </si>
  <si>
    <t xml:space="preserve">Veeva 10-K FY2024, SEC EDGAR; Bloomberg Jan 2024; Damodaran 2024</t>
  </si>
  <si>
    <t xml:space="preserve">Units</t>
  </si>
  <si>
    <t xml:space="preserve">USD millions ($M) unless stated</t>
  </si>
  <si>
    <t xml:space="preserve">Purpose</t>
  </si>
  <si>
    <t xml:space="preserve">L02 Model Comprehension | L03 Scenarios &amp; Errors | L04 Comps &amp; DCF</t>
  </si>
  <si>
    <t xml:space="preserve">Version</t>
  </si>
  <si>
    <t xml:space="preserve">1.0  —  March 2026</t>
  </si>
  <si>
    <t xml:space="preserve">COLOR CONVENTION</t>
  </si>
  <si>
    <t xml:space="preserve">Blue text — hardcoded inputs (numbers you can change for scenarios)</t>
  </si>
  <si>
    <t xml:space="preserve">Black text — formula cells (calculated; do not overtype)</t>
  </si>
  <si>
    <t xml:space="preserve">Green text — cross-sheet links (pulling values from another tab)</t>
  </si>
  <si>
    <t xml:space="preserve">EXERCISE GUIDE</t>
  </si>
  <si>
    <t xml:space="preserve">  L02  →  P&amp;L tab, row 56-57: Ask Claude 'What drives the Q3 FY2024 revenue variance?'</t>
  </si>
  <si>
    <t xml:space="preserve">  L03a →  Assumptions tab: Change E5 (sub growth) to 5%. Ask Claude to map all downstream effects.</t>
  </si>
  <si>
    <t xml:space="preserve">  L03b →  Cash Flow tab, E38: Ask Claude to trace and fix the circular reference error.</t>
  </si>
  <si>
    <t xml:space="preserve">  L03c →  P&amp;L tab: Overtype one black formula cell with a number. Ask Claude to detect it.</t>
  </si>
  <si>
    <t xml:space="preserve">  L04a →  Comps tab: Find Veeva's implied EV range. Does Veeva deserve above/below-median multiple?</t>
  </si>
  <si>
    <t xml:space="preserve">  L04b →  DCF tab: Change Assumptions!E29 (risk-free rate) to 3.5% and observe the per-share change.</t>
  </si>
  <si>
    <t xml:space="preserve">VEEVA SYSTEMS — MODEL ASSUMPTIONS</t>
  </si>
  <si>
    <t xml:space="preserve">All figures in $M | FY = fiscal year ending Jan 31 | Blue = hardcoded input | Black/Green = formula | Source: Veeva 10-Ks FY2022–2024, SEC EDGAR; estimates March 2026</t>
  </si>
  <si>
    <t xml:space="preserve">Assumption Driver</t>
  </si>
  <si>
    <t xml:space="preserve">FY2022A</t>
  </si>
  <si>
    <t xml:space="preserve">FY2023A</t>
  </si>
  <si>
    <t xml:space="preserve">FY2024A</t>
  </si>
  <si>
    <t xml:space="preserve">FY2025E</t>
  </si>
  <si>
    <t xml:space="preserve">FY2026E</t>
  </si>
  <si>
    <t xml:space="preserve">Source / Notes</t>
  </si>
  <si>
    <t xml:space="preserve">  REVENUE ASSUMPTIONS</t>
  </si>
  <si>
    <t xml:space="preserve">Subscription Revenue Growth Rate</t>
  </si>
  <si>
    <t xml:space="preserve">Source: Veeva 10-Ks; FY22=23.9%, FY23=21.5%, FY24=8.5% (deceleration); FY25E/26E analyst consensus</t>
  </si>
  <si>
    <t xml:space="preserve">Professional Services Revenue Growth Rate</t>
  </si>
  <si>
    <t xml:space="preserve">Source: Veeva 10-Ks; PS revenue flat in FY23 (-0.2%), rebounded FY24 (+12.4%)</t>
  </si>
  <si>
    <t xml:space="preserve">  MARGIN ASSUMPTIONS</t>
  </si>
  <si>
    <t xml:space="preserve">Subscription Gross Margin</t>
  </si>
  <si>
    <t xml:space="preserve">Source: Veeva 10-Ks; high-margin recurring software &amp; support</t>
  </si>
  <si>
    <t xml:space="preserve">Professional Services Gross Margin</t>
  </si>
  <si>
    <t xml:space="preserve">Source: Veeva 10-Ks; labour-intensive delivery, structurally lower margin</t>
  </si>
  <si>
    <t xml:space="preserve">R&amp;D as % of Revenue</t>
  </si>
  <si>
    <t xml:space="preserve">Source: Veeva 10-Ks; FY24 elevated due to Vault Platform &amp; Data Cloud investment</t>
  </si>
  <si>
    <t xml:space="preserve">Sales &amp; Marketing as % of Revenue</t>
  </si>
  <si>
    <t xml:space="preserve">Source: Veeva 10-Ks; improving efficiency as installed base grows</t>
  </si>
  <si>
    <t xml:space="preserve">G&amp;A as % of Revenue</t>
  </si>
  <si>
    <t xml:space="preserve">Source: Veeva 10-Ks; fixed-cost leverage improving at scale</t>
  </si>
  <si>
    <t xml:space="preserve">  OTHER ASSUMPTIONS</t>
  </si>
  <si>
    <t xml:space="preserve">Effective Tax Rate</t>
  </si>
  <si>
    <t xml:space="preserve">Source: Veeva 10-Ks; includes R&amp;D tax credits reducing effective rate</t>
  </si>
  <si>
    <t xml:space="preserve">Depreciation &amp; Amortisation ($M)</t>
  </si>
  <si>
    <t xml:space="preserve">Source: Veeva 10-K cash flow statements; grows with asset base</t>
  </si>
  <si>
    <t xml:space="preserve">Capital Expenditure ($M)</t>
  </si>
  <si>
    <t xml:space="preserve">Source: Veeva 10-Ks; data centre, office, and infrastructure investment</t>
  </si>
  <si>
    <t xml:space="preserve">Days Sales Outstanding</t>
  </si>
  <si>
    <t xml:space="preserve">Source: Veeva 10-Ks; improving AR collection discipline</t>
  </si>
  <si>
    <t xml:space="preserve">  MARKET DATA  (as of January 31, 2024 — FY2024A reporting date)</t>
  </si>
  <si>
    <t xml:space="preserve">Share Price ($)</t>
  </si>
  <si>
    <t xml:space="preserve">Source: NYSE closing price Jan 31 2024</t>
  </si>
  <si>
    <t xml:space="preserve">Diluted Shares Outstanding (M)</t>
  </si>
  <si>
    <t xml:space="preserve">Source: Veeva 10-K FY2024, cover page</t>
  </si>
  <si>
    <t xml:space="preserve">Total Debt ($M)</t>
  </si>
  <si>
    <t xml:space="preserve">Source: Veeva 10-K FY2024, balance sheet (notes payable)</t>
  </si>
  <si>
    <t xml:space="preserve">Cash &amp; Short-Term Investments ($M)</t>
  </si>
  <si>
    <t xml:space="preserve">Source: Veeva 10-K FY2024, balance sheet; includes short-term investments</t>
  </si>
  <si>
    <t xml:space="preserve">  WACC INPUTS  (used in DCF tab)</t>
  </si>
  <si>
    <t xml:space="preserve">Beta (Levered, 5-yr monthly)</t>
  </si>
  <si>
    <t xml:space="preserve">Source: Bloomberg 5-yr monthly regression vs S&amp;P 500, Jan 2024</t>
  </si>
  <si>
    <t xml:space="preserve">Risk-Free Rate (10-yr US Treasury)</t>
  </si>
  <si>
    <t xml:space="preserve">Source: US Treasury yield Jan 31 2024 = 4.5%</t>
  </si>
  <si>
    <t xml:space="preserve">Equity Risk Premium (ERP)</t>
  </si>
  <si>
    <t xml:space="preserve">Source: Damodaran (2024) implied ERP for US market = 5.5%</t>
  </si>
  <si>
    <t xml:space="preserve">Pre-Tax Cost of Debt</t>
  </si>
  <si>
    <t xml:space="preserve">Source: Veeva proxy based on credit profile; investment-grade equivalent</t>
  </si>
  <si>
    <t xml:space="preserve">VEEVA SYSTEMS — INCOME STATEMENT</t>
  </si>
  <si>
    <t xml:space="preserve">All figures in $M | Fiscal year ends January 31 | Blue = actual (hardcoded) | Green = formula pulling from Assumptions | Source: Veeva 10-Ks FY2022–2024; FY2025E/2026E estimated</t>
  </si>
  <si>
    <t xml:space="preserve">Notes</t>
  </si>
  <si>
    <t xml:space="preserve">  REVENUE</t>
  </si>
  <si>
    <t xml:space="preserve">  Subscription Revenue</t>
  </si>
  <si>
    <t xml:space="preserve">Actuals: Veeva 10-K FY24 pg 70; estimates: prior yr × (1 + Assumptions row 5)</t>
  </si>
  <si>
    <t xml:space="preserve">  Professional Services Revenue</t>
  </si>
  <si>
    <t xml:space="preserve">Actuals: Veeva 10-K FY24 pg 70; estimates: prior yr × (1 + Assumptions row 6)</t>
  </si>
  <si>
    <t xml:space="preserve">TOTAL REVENUE</t>
  </si>
  <si>
    <t xml:space="preserve">KEY DRIVER — traces to Assumptions rows 5 and 6</t>
  </si>
  <si>
    <t xml:space="preserve">  COST OF REVENUE</t>
  </si>
  <si>
    <t xml:space="preserve">  Subscription Cost of Revenue</t>
  </si>
  <si>
    <t xml:space="preserve">Estimates: Sub Rev × (1 − Gross Margin%; Assumptions row 9)</t>
  </si>
  <si>
    <t xml:space="preserve">  Professional Services Cost of Revenue</t>
  </si>
  <si>
    <t xml:space="preserve">Estimates: PS Rev × (1 − Gross Margin%; Assumptions row 10)</t>
  </si>
  <si>
    <t xml:space="preserve">  GROSS PROFIT</t>
  </si>
  <si>
    <t xml:space="preserve">  Subscription Gross Profit</t>
  </si>
  <si>
    <t xml:space="preserve">  Professional Services Gross Profit</t>
  </si>
  <si>
    <t xml:space="preserve">TOTAL GROSS PROFIT</t>
  </si>
  <si>
    <t xml:space="preserve">  Gross Margin %</t>
  </si>
  <si>
    <t xml:space="preserve">  OPERATING EXPENSES</t>
  </si>
  <si>
    <t xml:space="preserve">  Research &amp; Development</t>
  </si>
  <si>
    <t xml:space="preserve">Actuals: 10-Ks; estimates: Total Rev × R&amp;D % (Assumptions row 11)</t>
  </si>
  <si>
    <t xml:space="preserve">  Sales &amp; Marketing</t>
  </si>
  <si>
    <t xml:space="preserve">Actuals: 10-Ks; estimates: Total Rev × S&amp;M % (Assumptions row 12)</t>
  </si>
  <si>
    <t xml:space="preserve">  General &amp; Administrative</t>
  </si>
  <si>
    <t xml:space="preserve">Actuals: 10-Ks; estimates: Total Rev × G&amp;A % (Assumptions row 13)</t>
  </si>
  <si>
    <t xml:space="preserve">Total Operating Expenses</t>
  </si>
  <si>
    <t xml:space="preserve">  OPERATING INCOME (EBIT)</t>
  </si>
  <si>
    <t xml:space="preserve">EBIT / Operating Income</t>
  </si>
  <si>
    <t xml:space="preserve"> = Gross Profit − Total Operating Expenses</t>
  </si>
  <si>
    <t xml:space="preserve">  EBIT Margin %</t>
  </si>
  <si>
    <t xml:space="preserve">  EBITDA  (memo — D&amp;A add-back to EBIT)</t>
  </si>
  <si>
    <t xml:space="preserve">  Depreciation &amp; Amortisation</t>
  </si>
  <si>
    <t xml:space="preserve">EBITDA</t>
  </si>
  <si>
    <t xml:space="preserve"> = EBIT + D&amp;A (non-cash add-back). KEY for valuation multiples.</t>
  </si>
  <si>
    <t xml:space="preserve">  EBITDA Margin %</t>
  </si>
  <si>
    <t xml:space="preserve">  BELOW-THE-LINE &amp; NET INCOME</t>
  </si>
  <si>
    <t xml:space="preserve">  Interest &amp; Investment Income, net</t>
  </si>
  <si>
    <t xml:space="preserve">FY24 spike: higher yields on $2.5B cash &amp; investments position</t>
  </si>
  <si>
    <t xml:space="preserve">Pre-Tax Income</t>
  </si>
  <si>
    <t xml:space="preserve">  Income Tax Expense</t>
  </si>
  <si>
    <t xml:space="preserve"> = Pre-Tax Income × Tax Rate (Assumptions row 16)</t>
  </si>
  <si>
    <t xml:space="preserve">NET INCOME</t>
  </si>
  <si>
    <t xml:space="preserve">  Net Income Margin %</t>
  </si>
  <si>
    <t xml:space="preserve">  PER-SHARE DATA</t>
  </si>
  <si>
    <t xml:space="preserve">  Diluted Shares Outstanding (M)</t>
  </si>
  <si>
    <t xml:space="preserve">Source: 10-Ks; declining with active buyback programme</t>
  </si>
  <si>
    <t xml:space="preserve">  Diluted EPS ($)</t>
  </si>
  <si>
    <t xml:space="preserve"> = Net Income ÷ Diluted Shares</t>
  </si>
  <si>
    <t xml:space="preserve">  QUARTERLY REVENUE DETAIL — FY2024A  (L02 Exercise: Trace the Q3 Variance)</t>
  </si>
  <si>
    <t xml:space="preserve">  L02 Exercise: Q3 FY2024 total revenue missed budget by 6.0%. Ask Claude: 'What drives the Q3 FY2024 revenue variance?' Trace to: subscription deceleration (Assumptions!E5 = 8.5% actual vs ~12% budget implied). Budget was set April 2023 assuming re-acceleration.</t>
  </si>
  <si>
    <t xml:space="preserve">Q1 FY2024A</t>
  </si>
  <si>
    <t xml:space="preserve">Q2 FY2024A</t>
  </si>
  <si>
    <t xml:space="preserve">Q3 FY2024A</t>
  </si>
  <si>
    <t xml:space="preserve">Q4 FY2024A</t>
  </si>
  <si>
    <t xml:space="preserve">FY2024 Total</t>
  </si>
  <si>
    <t xml:space="preserve">  Subscription Revenue — Actual</t>
  </si>
  <si>
    <t xml:space="preserve">Quarterly sum = $1,898M ✓ (matches P&amp;L row 5 col E)</t>
  </si>
  <si>
    <t xml:space="preserve">  Professional Services — Actual</t>
  </si>
  <si>
    <t xml:space="preserve">Quarterly sum = $461M ✓ (matches P&amp;L row 6 col E)</t>
  </si>
  <si>
    <t xml:space="preserve">  TOTAL REVENUE — Actual</t>
  </si>
  <si>
    <t xml:space="preserve">  Subscription Revenue — Budget</t>
  </si>
  <si>
    <t xml:space="preserve">  Professional Services — Budget</t>
  </si>
  <si>
    <t xml:space="preserve">  TOTAL REVENUE — Budget</t>
  </si>
  <si>
    <t xml:space="preserve">  Variance ($M)</t>
  </si>
  <si>
    <t xml:space="preserve">◄ Q3 MISS: -6.0%. L02 exercise: trace this miss. Sub shortfall = -$33M vs budget.</t>
  </si>
  <si>
    <t xml:space="preserve">  Variance (%)</t>
  </si>
  <si>
    <t xml:space="preserve">VEEVA SYSTEMS — CASH FLOW STATEMENT</t>
  </si>
  <si>
    <t xml:space="preserve">All figures in $M | Green = pulled from P&amp;L or Assumptions | IMPORTANT: Row 38 (FY2024A UFCF) contains a deliberate circular-reference error for the L03 error-tracing exercise — ask Claude to trace and fix it</t>
  </si>
  <si>
    <t xml:space="preserve">  CASH FLOW FROM OPERATIONS</t>
  </si>
  <si>
    <t xml:space="preserve">  Net Income</t>
  </si>
  <si>
    <t xml:space="preserve">Linked from P&amp;L row 38 (Net Income)</t>
  </si>
  <si>
    <t xml:space="preserve">  Add: Depreciation &amp; Amortisation</t>
  </si>
  <si>
    <t xml:space="preserve">Linked from Assumptions row 17 (D&amp;A)</t>
  </si>
  <si>
    <t xml:space="preserve">  Add: Stock-Based Compensation (non-cash)</t>
  </si>
  <si>
    <t xml:space="preserve">Source: Veeva 10-Ks; significant non-cash SBC for a SaaS company</t>
  </si>
  <si>
    <t xml:space="preserve">  Change in Deferred Revenue</t>
  </si>
  <si>
    <t xml:space="preserve">Positive = subscription cash collected before revenue recognised (billing in advance)</t>
  </si>
  <si>
    <t xml:space="preserve">  (Increase) in Accounts Receivable</t>
  </si>
  <si>
    <t xml:space="preserve">Estimates: -(ΔRevenue × DSO/365); Assumptions row 19 = DSO</t>
  </si>
  <si>
    <t xml:space="preserve">  Other Working Capital</t>
  </si>
  <si>
    <t xml:space="preserve">Cash from Operations</t>
  </si>
  <si>
    <t xml:space="preserve">  CASH FLOW FROM INVESTING</t>
  </si>
  <si>
    <t xml:space="preserve">  Capital Expenditure</t>
  </si>
  <si>
    <t xml:space="preserve"> = −Assumptions row 18 (negative = cash out)</t>
  </si>
  <si>
    <t xml:space="preserve">  Net Purchases of Investments</t>
  </si>
  <si>
    <t xml:space="preserve">Source: 10-Ks; Veeva maintains large investment portfolio offsetting debt</t>
  </si>
  <si>
    <t xml:space="preserve">Cash from Investing</t>
  </si>
  <si>
    <t xml:space="preserve">  FREE CASH FLOW  (CFO − Capex)</t>
  </si>
  <si>
    <t xml:space="preserve">FREE CASH FLOW</t>
  </si>
  <si>
    <t xml:space="preserve"> = CFO + Capex (Capex already negative). KEY metric for Veeva's premium valuation.</t>
  </si>
  <si>
    <t xml:space="preserve">  FCF Margin %</t>
  </si>
  <si>
    <t xml:space="preserve">  CASH FLOW FROM FINANCING</t>
  </si>
  <si>
    <t xml:space="preserve">  Share Repurchases</t>
  </si>
  <si>
    <t xml:space="preserve">Source: Veeva 10-Ks; active $2B+ buyback programme</t>
  </si>
  <si>
    <t xml:space="preserve">  Other Financing (options/RSUs)</t>
  </si>
  <si>
    <t xml:space="preserve">Cash from Financing</t>
  </si>
  <si>
    <t xml:space="preserve">  CASH POSITION</t>
  </si>
  <si>
    <t xml:space="preserve">Net Change in Cash</t>
  </si>
  <si>
    <t xml:space="preserve">  Opening Cash</t>
  </si>
  <si>
    <t xml:space="preserve">CLOSING CASH BALANCE</t>
  </si>
  <si>
    <t xml:space="preserve">  UNLEVERED FREE CASH FLOW  (memo — used in DCF tab)</t>
  </si>
  <si>
    <t xml:space="preserve">  NOTE: Row 38 (FY2024A Unlevered FCF) contains a deliberate error for L03 exercise. Formula in E38 references E38 itself — a circular reference. Ask Claude: 'There is an error in Cash Flow!E38. Trace the source and fix it.'</t>
  </si>
  <si>
    <t xml:space="preserve">  NOPAT = EBIT × (1 − Tax Rate)</t>
  </si>
  <si>
    <t xml:space="preserve">  Less: Capital Expenditure</t>
  </si>
  <si>
    <t xml:space="preserve">  Less: Change in Working Capital</t>
  </si>
  <si>
    <t xml:space="preserve">Simplified net WC change for UFCF calculation</t>
  </si>
  <si>
    <t xml:space="preserve">UNLEVERED FREE CASH FLOW</t>
  </si>
  <si>
    <t xml:space="preserve">FY2022A/23A/25E/26E = correct. FY2024A (E38) = deliberate error for L03 exercise</t>
  </si>
  <si>
    <t xml:space="preserve">VEEVA SYSTEMS — COMPARABLE COMPANY ANALYSIS</t>
  </si>
  <si>
    <t xml:space="preserve">All figures in $M | Data as of January 31, 2024 | Source: Company 10-Ks (SEC EDGAR) + Bloomberg terminal | Blue = hardcoded market data | Black = calculated multiples</t>
  </si>
  <si>
    <t xml:space="preserve">Ticker</t>
  </si>
  <si>
    <t xml:space="preserve">Price
($)</t>
  </si>
  <si>
    <t xml:space="preserve">Shares
(M)</t>
  </si>
  <si>
    <t xml:space="preserve">Mkt Cap
($M)</t>
  </si>
  <si>
    <t xml:space="preserve">Debt
($M)</t>
  </si>
  <si>
    <t xml:space="preserve">Cash
($M)</t>
  </si>
  <si>
    <t xml:space="preserve">EV
($M)</t>
  </si>
  <si>
    <t xml:space="preserve">LTM Rev
($M)</t>
  </si>
  <si>
    <t xml:space="preserve">LTM EBITDA
($M)</t>
  </si>
  <si>
    <t xml:space="preserve">EBITDA
Margin</t>
  </si>
  <si>
    <t xml:space="preserve">EV/
Revenue</t>
  </si>
  <si>
    <t xml:space="preserve">EV/
EBITDA</t>
  </si>
  <si>
    <t xml:space="preserve">  SUBJECT COMPANY</t>
  </si>
  <si>
    <t xml:space="preserve">Veeva Systems</t>
  </si>
  <si>
    <t xml:space="preserve">VEEV</t>
  </si>
  <si>
    <t xml:space="preserve">SUBJECT — Life sciences vertical SaaS; FY ends Jan 31</t>
  </si>
  <si>
    <t xml:space="preserve">  PEER GROUP  (enterprise SaaS &amp; vertical software — data as of Jan 31 2024)</t>
  </si>
  <si>
    <t xml:space="preserve">Salesforce</t>
  </si>
  <si>
    <t xml:space="preserve">CRM</t>
  </si>
  <si>
    <t xml:space="preserve">CRM SaaS market leader; FY ends Jan 31; diverse multi-cloud</t>
  </si>
  <si>
    <t xml:space="preserve">ServiceNow</t>
  </si>
  <si>
    <t xml:space="preserve">NOW</t>
  </si>
  <si>
    <t xml:space="preserve">Enterprise workflow automation; highest growth + margin in peer group</t>
  </si>
  <si>
    <t xml:space="preserve">Workday</t>
  </si>
  <si>
    <t xml:space="preserve">WDAY</t>
  </si>
  <si>
    <t xml:space="preserve">HCM &amp; financial management SaaS; FY ends Jan 31</t>
  </si>
  <si>
    <t xml:space="preserve">Tyler Technologies</t>
  </si>
  <si>
    <t xml:space="preserve">TYL</t>
  </si>
  <si>
    <t xml:space="preserve">Government vertical SaaS; closest scale comparable to Veeva</t>
  </si>
  <si>
    <t xml:space="preserve">IQVIA Holdings</t>
  </si>
  <si>
    <t xml:space="preserve">IQV</t>
  </si>
  <si>
    <t xml:space="preserve">Life sciences data &amp; CRO services; Veeva's closest vertical peer</t>
  </si>
  <si>
    <t xml:space="preserve">Guidewire Software</t>
  </si>
  <si>
    <t xml:space="preserve">GWRE</t>
  </si>
  <si>
    <t xml:space="preserve">Insurance vertical SaaS; lower margin, high multiple</t>
  </si>
  <si>
    <t xml:space="preserve">  PEER GROUP STATISTICS</t>
  </si>
  <si>
    <t xml:space="preserve">  Mean</t>
  </si>
  <si>
    <t xml:space="preserve">  Median</t>
  </si>
  <si>
    <t xml:space="preserve">  25th Pct</t>
  </si>
  <si>
    <t xml:space="preserve">  75th Pct</t>
  </si>
  <si>
    <t xml:space="preserve">  IMPLIED ENTERPRISE VALUE FOR VEEVA  (applying peer EV/EBITDA multiples to Veeva LTM EBITDA $927M)</t>
  </si>
  <si>
    <t xml:space="preserve">Implied EV ($M)</t>
  </si>
  <si>
    <t xml:space="preserve">Implied Equity ($M)</t>
  </si>
  <si>
    <t xml:space="preserve">Implied Price/Shr</t>
  </si>
  <si>
    <t xml:space="preserve">  At 25th Pct EV/EBITDA</t>
  </si>
  <si>
    <t xml:space="preserve">  At Median EV/EBITDA</t>
  </si>
  <si>
    <t xml:space="preserve">  At 75th Pct EV/EBITDA</t>
  </si>
  <si>
    <t xml:space="preserve">VEEVA SYSTEMS — DISCOUNTED CASH FLOW VALUATION</t>
  </si>
  <si>
    <t xml:space="preserve">5-yr projection (FY2025E–FY2029E) + Gordon Growth Terminal Value | Base case: WACC 9.5%, terminal growth 3.0% | L04 Exercise: change WACC (row 22 col D) to 8.5% and track per-share impact in row 57</t>
  </si>
  <si>
    <t xml:space="preserve">  WACC CALCULATION  (CAPM + target capital structure)</t>
  </si>
  <si>
    <t xml:space="preserve">  Risk-Free Rate (10-yr Treasury)</t>
  </si>
  <si>
    <t xml:space="preserve">Source: Assumptions tab row 29 = 4.5% (Jan 2024)</t>
  </si>
  <si>
    <t xml:space="preserve">  Equity Risk Premium</t>
  </si>
  <si>
    <t xml:space="preserve">Source: Assumptions row 30 = 5.5% (Damodaran 2024)</t>
  </si>
  <si>
    <t xml:space="preserve">  Beta (Levered)</t>
  </si>
  <si>
    <t xml:space="preserve">Source: Assumptions row 28 = 1.05 (Bloomberg 5-yr)</t>
  </si>
  <si>
    <t xml:space="preserve">  Cost of Equity [CAPM]</t>
  </si>
  <si>
    <t xml:space="preserve">Formula: Rf + Beta x ERP (CAPM)</t>
  </si>
  <si>
    <t xml:space="preserve">  Pre-Tax Cost of Debt</t>
  </si>
  <si>
    <t xml:space="preserve">Source: Assumptions row 31 = 4.0%</t>
  </si>
  <si>
    <t xml:space="preserve">  Effective Tax Rate</t>
  </si>
  <si>
    <t xml:space="preserve">Source: Assumptions row 16 = 16.5%</t>
  </si>
  <si>
    <t xml:space="preserve">  After-Tax Cost of Debt</t>
  </si>
  <si>
    <t xml:space="preserve">Formula: Pre-Tax Cost x (1 - Tax Rate)</t>
  </si>
  <si>
    <t xml:space="preserve">  Market Capitalization ($M)</t>
  </si>
  <si>
    <t xml:space="preserve">Formula: Share Price x Diluted Shares (Assumptions rows 22,23)</t>
  </si>
  <si>
    <t xml:space="preserve">  Total Debt ($M)</t>
  </si>
  <si>
    <t xml:space="preserve">Source: Assumptions row 24 (Total Debt)</t>
  </si>
  <si>
    <t xml:space="preserve">  Total Capital ($M)</t>
  </si>
  <si>
    <t xml:space="preserve">Formula: Market Cap + Debt</t>
  </si>
  <si>
    <t xml:space="preserve">  Equity Weight (E/V)</t>
  </si>
  <si>
    <t xml:space="preserve">Formula: Market Cap / Total Capital</t>
  </si>
  <si>
    <t xml:space="preserve">  Debt Weight (D/V)</t>
  </si>
  <si>
    <t xml:space="preserve">Formula: Debt / Total Capital</t>
  </si>
  <si>
    <t xml:space="preserve">WACC  =  (E/V × Ke)  +  (D/V × Kd × (1−t))</t>
  </si>
  <si>
    <t xml:space="preserve">◄ KEY INPUT. L04: Change Assumptions!E28 (beta) or Assumptions!E29 (risk-free rate) and see WACC update.</t>
  </si>
  <si>
    <t xml:space="preserve">  DCF PROJECTION — UNLEVERED FREE CASH FLOW  (FY2025E–FY2029E discounted)</t>
  </si>
  <si>
    <t xml:space="preserve">Ref</t>
  </si>
  <si>
    <t xml:space="preserve">FY2027E</t>
  </si>
  <si>
    <t xml:space="preserve">FY2028E</t>
  </si>
  <si>
    <t xml:space="preserve">FY2029E</t>
  </si>
  <si>
    <t xml:space="preserve">  Revenue ($M)</t>
  </si>
  <si>
    <t xml:space="preserve">P&amp;L r7</t>
  </si>
  <si>
    <t xml:space="preserve">  EBIT ($M)</t>
  </si>
  <si>
    <t xml:space="preserve">P&amp;L r26</t>
  </si>
  <si>
    <t xml:space="preserve">  (−) Tax on EBIT</t>
  </si>
  <si>
    <t xml:space="preserve">Assm r16</t>
  </si>
  <si>
    <t xml:space="preserve">  (+) Depreciation &amp; Amortisation</t>
  </si>
  <si>
    <t xml:space="preserve">Assm r17</t>
  </si>
  <si>
    <t xml:space="preserve">  (−) Capital Expenditure</t>
  </si>
  <si>
    <t xml:space="preserve">Assm r18</t>
  </si>
  <si>
    <t xml:space="preserve">  (−) Change in Net Working Capital</t>
  </si>
  <si>
    <t xml:space="preserve">CF r37</t>
  </si>
  <si>
    <t xml:space="preserve">UNLEVERED FREE CASH FLOW ($M)</t>
  </si>
  <si>
    <t xml:space="preserve">Sum</t>
  </si>
  <si>
    <t xml:space="preserve">  Discount Period (t)</t>
  </si>
  <si>
    <t xml:space="preserve">Base</t>
  </si>
  <si>
    <t xml:space="preserve">  Discount Factor  [1 / (1 + WACC)^t]</t>
  </si>
  <si>
    <t xml:space="preserve">row 20</t>
  </si>
  <si>
    <t xml:space="preserve">n/a</t>
  </si>
  <si>
    <t xml:space="preserve">  Present Value of UFCF ($M)</t>
  </si>
  <si>
    <t xml:space="preserve">  VALUATION SUMMARY</t>
  </si>
  <si>
    <t xml:space="preserve">  Sum of PV of UFCF ($M) — FY2025E to FY2029E</t>
  </si>
  <si>
    <t xml:space="preserve">Note: Sum of discounted FCFs for projection period</t>
  </si>
  <si>
    <t xml:space="preserve">  Terminal Growth Rate (g)  ← KEY INPUT</t>
  </si>
  <si>
    <t xml:space="preserve">Try 2.0%–4.0% to see valuation sensitivity</t>
  </si>
  <si>
    <t xml:space="preserve">  Terminal Value  [TV = FY2029E UFCF × (1+g) / (WACC − g)]</t>
  </si>
  <si>
    <t xml:space="preserve">Gordon Growth Model; breaks if WACC &lt; g</t>
  </si>
  <si>
    <t xml:space="preserve">  PV of Terminal Value</t>
  </si>
  <si>
    <t xml:space="preserve"> = Terminal Value × Discount Factor at t=5 (period I33)</t>
  </si>
  <si>
    <t xml:space="preserve">  % of EV from Terminal Value</t>
  </si>
  <si>
    <t xml:space="preserve">Typical 60–80% for high-growth SaaS; higher = more uncertainty</t>
  </si>
  <si>
    <t xml:space="preserve">ENTERPRISE VALUE ($M)</t>
  </si>
  <si>
    <t xml:space="preserve">  (+) Cash &amp; Investments ($M)</t>
  </si>
  <si>
    <t xml:space="preserve">  (−) Total Debt ($M)</t>
  </si>
  <si>
    <t xml:space="preserve">EQUITY VALUE ($M)</t>
  </si>
  <si>
    <t xml:space="preserve">EQUITY VALUE PER SHARE ($)</t>
  </si>
  <si>
    <t xml:space="preserve">  Current Market Price ($)</t>
  </si>
  <si>
    <t xml:space="preserve">  DCF Premium / (Discount) vs Market</t>
  </si>
  <si>
    <t xml:space="preserve">Negative = DCF below market. Adjust WACC/growth to reconcile. This is the exercise.</t>
  </si>
  <si>
    <t xml:space="preserve">  SENSITIVITY TABLE — Equity Value Per Share ($)  [WACC ↓ rows  ×  Terminal Growth Rate → columns]</t>
  </si>
  <si>
    <t xml:space="preserve">Values pre-computed at the base assumptions above. GREEN cells = within 15% of market price $185.00. Exercise: Find the WACC + g combination that justifies $185. Is that combination reasonable for Veeva?</t>
  </si>
  <si>
    <t xml:space="preserve">WACC  ↓  /  g  →</t>
  </si>
  <si>
    <t xml:space="preserve">▲ GREEN = per-share values within 15% of $185. Note: Veeva's market price implies the market expects either a low WACC (high quality premium) or high terminal growth (Vault Platform optionality) — or both.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</si>
</sst>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%;\(0.0%\);\-"/>
    <numFmt numFmtId="166" formatCode="#,##0"/>
    <numFmt numFmtId="167" formatCode="\$#,##0.00"/>
    <numFmt numFmtId="168" formatCode="#,##0.0"/>
    <numFmt numFmtId="169" formatCode="0.00"/>
    <numFmt numFmtId="170" formatCode="#,##0;\(#,##0\);\-"/>
    <numFmt numFmtId="171" formatCode="0.0\x"/>
    <numFmt numFmtId="172" formatCode="0.0000"/>
    <numFmt numFmtId="173" formatCode="\$#,##0.0"/>
  </numFmts>
  <fonts count="2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3864"/>
      <name val="Calibri"/>
      <family val="0"/>
      <charset val="1"/>
    </font>
    <font>
      <i val="true"/>
      <sz val="12"/>
      <color rgb="FF595959"/>
      <name val="Calibri"/>
      <family val="0"/>
      <charset val="1"/>
    </font>
    <font>
      <b val="true"/>
      <sz val="10"/>
      <color rgb="FF1F3864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sz val="10"/>
      <color rgb="FF008000"/>
      <name val="Calibri"/>
      <family val="0"/>
      <charset val="1"/>
    </font>
    <font>
      <sz val="10"/>
      <color rgb="FF1F3864"/>
      <name val="Calibri"/>
      <family val="0"/>
      <charset val="1"/>
    </font>
    <font>
      <b val="true"/>
      <sz val="13"/>
      <color rgb="FF1F3864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sz val="10"/>
      <color rgb="FF0000FF"/>
      <name val="Calibri"/>
      <family val="0"/>
      <charset val="1"/>
    </font>
    <font>
      <sz val="9"/>
      <color rgb="FF595959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i val="true"/>
      <sz val="10"/>
      <color rgb="FF595959"/>
      <name val="Calibri"/>
      <family val="0"/>
      <charset val="1"/>
    </font>
    <font>
      <i val="true"/>
      <sz val="10"/>
      <color rgb="FF008000"/>
      <name val="Calibri"/>
      <family val="0"/>
      <charset val="1"/>
    </font>
    <font>
      <i val="true"/>
      <sz val="9"/>
      <color rgb="FF1F3864"/>
      <name val="Calibri"/>
      <family val="0"/>
      <charset val="1"/>
    </font>
    <font>
      <b val="true"/>
      <sz val="10"/>
      <color rgb="FF9C0006"/>
      <name val="Calibri"/>
      <family val="0"/>
      <charset val="1"/>
    </font>
    <font>
      <b val="true"/>
      <sz val="9"/>
      <color rgb="FF9C0006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1F3864"/>
      <name val="Calibri"/>
      <family val="0"/>
      <charset val="1"/>
    </font>
    <font>
      <b val="true"/>
      <sz val="14"/>
      <color rgb="FF1F3864"/>
      <name val="Calibri"/>
      <family val="0"/>
      <charset val="1"/>
    </font>
    <font>
      <i val="true"/>
      <sz val="8"/>
      <color rgb="FF595959"/>
      <name val="Calibri"/>
      <family val="0"/>
      <charset val="1"/>
    </font>
    <font>
      <b val="true"/>
      <sz val="12"/>
      <color rgb="FF1F3864"/>
      <name val="Calibri"/>
      <family val="0"/>
      <charset val="1"/>
    </font>
    <font>
      <b val="true"/>
      <sz val="16"/>
      <color rgb="FF1F3864"/>
      <name val="Calibri"/>
      <family val="0"/>
      <charset val="1"/>
    </font>
    <font>
      <sz val="10"/>
      <color rgb="FF9C0006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E2EFDA"/>
      </patternFill>
    </fill>
    <fill>
      <patternFill patternType="solid">
        <fgColor rgb="FFD9E1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FFC7CE"/>
        <bgColor rgb="FFFCE4D6"/>
      </patternFill>
    </fill>
    <fill>
      <patternFill patternType="solid">
        <fgColor rgb="FFFFFFFF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8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1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4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4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4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4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6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7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28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7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7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2CC"/>
      <rgbColor rgb="FFF2F2F2"/>
      <rgbColor rgb="FF660066"/>
      <rgbColor rgb="FFFF8080"/>
      <rgbColor rgb="FF0070C0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CE4D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B1:C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5"/>
    <col collapsed="false" customWidth="true" hidden="false" outlineLevel="0" max="3" min="3" style="1" width="30"/>
  </cols>
  <sheetData>
    <row r="1" customFormat="false" ht="9.75" hidden="false" customHeight="true" outlineLevel="0" collapsed="false"/>
    <row r="2" customFormat="false" ht="31.5" hidden="false" customHeight="true" outlineLevel="0" collapsed="false">
      <c r="B2" s="2" t="s">
        <v>0</v>
      </c>
      <c r="C2" s="2"/>
    </row>
    <row r="3" customFormat="false" ht="21.75" hidden="false" customHeight="true" outlineLevel="0" collapsed="false">
      <c r="B3" s="3" t="s">
        <v>1</v>
      </c>
      <c r="C3" s="3"/>
    </row>
    <row r="4" customFormat="false" ht="3.75" hidden="false" customHeight="true" outlineLevel="0" collapsed="false">
      <c r="B4" s="4"/>
      <c r="C4" s="4"/>
    </row>
    <row r="6" customFormat="false" ht="19.5" hidden="false" customHeight="true" outlineLevel="0" collapsed="false">
      <c r="B6" s="5" t="s">
        <v>2</v>
      </c>
      <c r="C6" s="6" t="s">
        <v>3</v>
      </c>
    </row>
    <row r="7" customFormat="false" ht="19.5" hidden="false" customHeight="true" outlineLevel="0" collapsed="false">
      <c r="B7" s="7" t="s">
        <v>4</v>
      </c>
      <c r="C7" s="8" t="s">
        <v>5</v>
      </c>
    </row>
    <row r="8" customFormat="false" ht="19.5" hidden="false" customHeight="true" outlineLevel="0" collapsed="false">
      <c r="B8" s="5" t="s">
        <v>6</v>
      </c>
      <c r="C8" s="6" t="s">
        <v>7</v>
      </c>
    </row>
    <row r="9" customFormat="false" ht="19.5" hidden="false" customHeight="true" outlineLevel="0" collapsed="false">
      <c r="B9" s="7" t="s">
        <v>8</v>
      </c>
      <c r="C9" s="8" t="s">
        <v>9</v>
      </c>
    </row>
    <row r="10" customFormat="false" ht="19.5" hidden="false" customHeight="true" outlineLevel="0" collapsed="false">
      <c r="B10" s="5" t="s">
        <v>10</v>
      </c>
      <c r="C10" s="6" t="s">
        <v>11</v>
      </c>
    </row>
    <row r="11" customFormat="false" ht="19.5" hidden="false" customHeight="true" outlineLevel="0" collapsed="false">
      <c r="B11" s="7" t="s">
        <v>12</v>
      </c>
      <c r="C11" s="8" t="s">
        <v>13</v>
      </c>
    </row>
    <row r="12" customFormat="false" ht="19.5" hidden="false" customHeight="true" outlineLevel="0" collapsed="false">
      <c r="B12" s="5" t="s">
        <v>14</v>
      </c>
      <c r="C12" s="6" t="s">
        <v>15</v>
      </c>
    </row>
    <row r="13" customFormat="false" ht="19.5" hidden="false" customHeight="true" outlineLevel="0" collapsed="false">
      <c r="B13" s="7" t="s">
        <v>16</v>
      </c>
      <c r="C13" s="8" t="s">
        <v>17</v>
      </c>
    </row>
    <row r="14" customFormat="false" ht="19.5" hidden="false" customHeight="true" outlineLevel="0" collapsed="false">
      <c r="B14" s="5" t="s">
        <v>18</v>
      </c>
      <c r="C14" s="6" t="s">
        <v>19</v>
      </c>
    </row>
    <row r="16" customFormat="false" ht="7.5" hidden="false" customHeight="true" outlineLevel="0" collapsed="false"/>
    <row r="17" customFormat="false" ht="15" hidden="false" customHeight="true" outlineLevel="0" collapsed="false">
      <c r="B17" s="9" t="s">
        <v>20</v>
      </c>
      <c r="C17" s="9"/>
    </row>
    <row r="18" customFormat="false" ht="18" hidden="false" customHeight="true" outlineLevel="0" collapsed="false">
      <c r="B18" s="10" t="s">
        <v>21</v>
      </c>
      <c r="C18" s="10"/>
    </row>
    <row r="19" customFormat="false" ht="18" hidden="false" customHeight="true" outlineLevel="0" collapsed="false">
      <c r="B19" s="11" t="s">
        <v>22</v>
      </c>
      <c r="C19" s="11"/>
    </row>
    <row r="20" customFormat="false" ht="18" hidden="false" customHeight="true" outlineLevel="0" collapsed="false">
      <c r="B20" s="12" t="s">
        <v>23</v>
      </c>
      <c r="C20" s="12"/>
    </row>
    <row r="22" customFormat="false" ht="7.5" hidden="false" customHeight="true" outlineLevel="0" collapsed="false"/>
    <row r="23" customFormat="false" ht="15" hidden="false" customHeight="true" outlineLevel="0" collapsed="false">
      <c r="B23" s="9" t="s">
        <v>24</v>
      </c>
      <c r="C23" s="9"/>
    </row>
    <row r="24" customFormat="false" ht="19.5" hidden="false" customHeight="true" outlineLevel="0" collapsed="false">
      <c r="B24" s="13" t="s">
        <v>25</v>
      </c>
      <c r="C24" s="13"/>
    </row>
    <row r="25" customFormat="false" ht="19.5" hidden="false" customHeight="true" outlineLevel="0" collapsed="false">
      <c r="B25" s="14" t="s">
        <v>26</v>
      </c>
      <c r="C25" s="14"/>
    </row>
    <row r="26" customFormat="false" ht="19.5" hidden="false" customHeight="true" outlineLevel="0" collapsed="false">
      <c r="B26" s="13" t="s">
        <v>27</v>
      </c>
      <c r="C26" s="13"/>
    </row>
    <row r="27" customFormat="false" ht="19.5" hidden="false" customHeight="true" outlineLevel="0" collapsed="false">
      <c r="B27" s="14" t="s">
        <v>28</v>
      </c>
      <c r="C27" s="14"/>
    </row>
    <row r="28" customFormat="false" ht="19.5" hidden="false" customHeight="true" outlineLevel="0" collapsed="false">
      <c r="B28" s="13" t="s">
        <v>29</v>
      </c>
      <c r="C28" s="13"/>
    </row>
    <row r="29" customFormat="false" ht="19.5" hidden="false" customHeight="true" outlineLevel="0" collapsed="false">
      <c r="B29" s="14" t="s">
        <v>30</v>
      </c>
      <c r="C29" s="14"/>
    </row>
  </sheetData>
  <mergeCells count="13">
    <mergeCell ref="B2:C2"/>
    <mergeCell ref="B3:C3"/>
    <mergeCell ref="B17:C17"/>
    <mergeCell ref="B18:C18"/>
    <mergeCell ref="B19:C19"/>
    <mergeCell ref="B20:C20"/>
    <mergeCell ref="B23:C23"/>
    <mergeCell ref="B24:C24"/>
    <mergeCell ref="B25:C25"/>
    <mergeCell ref="B26:C26"/>
    <mergeCell ref="B27:C27"/>
    <mergeCell ref="B28:C28"/>
    <mergeCell ref="B29:C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70C0"/>
    <pageSetUpPr fitToPage="false"/>
  </sheetPr>
  <dimension ref="B1:H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8"/>
    <col collapsed="false" customWidth="true" hidden="false" outlineLevel="0" max="7" min="3" style="1" width="14"/>
    <col collapsed="false" customWidth="true" hidden="false" outlineLevel="0" max="8" min="8" style="1" width="40"/>
  </cols>
  <sheetData>
    <row r="1" customFormat="false" ht="25.5" hidden="false" customHeight="true" outlineLevel="0" collapsed="false">
      <c r="B1" s="15" t="s">
        <v>31</v>
      </c>
      <c r="C1" s="15"/>
      <c r="D1" s="15"/>
      <c r="E1" s="15"/>
      <c r="F1" s="15"/>
      <c r="G1" s="15"/>
      <c r="H1" s="15"/>
    </row>
    <row r="2" customFormat="false" ht="15.75" hidden="false" customHeight="true" outlineLevel="0" collapsed="false">
      <c r="B2" s="16" t="s">
        <v>32</v>
      </c>
      <c r="C2" s="16"/>
      <c r="D2" s="16"/>
      <c r="E2" s="16"/>
      <c r="F2" s="16"/>
      <c r="G2" s="16"/>
      <c r="H2" s="16"/>
    </row>
    <row r="3" customFormat="false" ht="19.5" hidden="false" customHeight="true" outlineLevel="0" collapsed="false">
      <c r="B3" s="7" t="s">
        <v>33</v>
      </c>
      <c r="C3" s="17" t="s">
        <v>34</v>
      </c>
      <c r="D3" s="17" t="s">
        <v>35</v>
      </c>
      <c r="E3" s="17" t="s">
        <v>36</v>
      </c>
      <c r="F3" s="17" t="s">
        <v>37</v>
      </c>
      <c r="G3" s="17" t="s">
        <v>38</v>
      </c>
      <c r="H3" s="18" t="s">
        <v>39</v>
      </c>
    </row>
    <row r="4" customFormat="false" ht="19.5" hidden="false" customHeight="true" outlineLevel="0" collapsed="false">
      <c r="B4" s="19" t="s">
        <v>40</v>
      </c>
      <c r="C4" s="19"/>
      <c r="D4" s="19"/>
      <c r="E4" s="19"/>
      <c r="F4" s="19"/>
      <c r="G4" s="19"/>
      <c r="H4" s="19"/>
    </row>
    <row r="5" customFormat="false" ht="18" hidden="false" customHeight="true" outlineLevel="0" collapsed="false">
      <c r="B5" s="8" t="s">
        <v>41</v>
      </c>
      <c r="C5" s="20" t="n">
        <v>0.239</v>
      </c>
      <c r="D5" s="20" t="n">
        <v>0.215</v>
      </c>
      <c r="E5" s="20" t="n">
        <v>0.085</v>
      </c>
      <c r="F5" s="20" t="n">
        <v>0.12</v>
      </c>
      <c r="G5" s="20" t="n">
        <v>0.14</v>
      </c>
      <c r="H5" s="21" t="s">
        <v>42</v>
      </c>
    </row>
    <row r="6" customFormat="false" ht="18" hidden="false" customHeight="true" outlineLevel="0" collapsed="false">
      <c r="B6" s="8" t="s">
        <v>43</v>
      </c>
      <c r="C6" s="20" t="n">
        <v>0.06</v>
      </c>
      <c r="D6" s="20" t="n">
        <v>-0.002</v>
      </c>
      <c r="E6" s="20" t="n">
        <v>0.124</v>
      </c>
      <c r="F6" s="20" t="n">
        <v>0.05</v>
      </c>
      <c r="G6" s="20" t="n">
        <v>0.07</v>
      </c>
      <c r="H6" s="21" t="s">
        <v>44</v>
      </c>
    </row>
    <row r="7" customFormat="false" ht="7.5" hidden="false" customHeight="true" outlineLevel="0" collapsed="false"/>
    <row r="8" customFormat="false" ht="19.5" hidden="false" customHeight="true" outlineLevel="0" collapsed="false">
      <c r="B8" s="19" t="s">
        <v>45</v>
      </c>
      <c r="C8" s="19"/>
      <c r="D8" s="19"/>
      <c r="E8" s="19"/>
      <c r="F8" s="19"/>
      <c r="G8" s="19"/>
      <c r="H8" s="19"/>
    </row>
    <row r="9" customFormat="false" ht="18" hidden="false" customHeight="true" outlineLevel="0" collapsed="false">
      <c r="B9" s="8" t="s">
        <v>46</v>
      </c>
      <c r="C9" s="20" t="n">
        <v>0.842</v>
      </c>
      <c r="D9" s="20" t="n">
        <v>0.846</v>
      </c>
      <c r="E9" s="20" t="n">
        <v>0.85</v>
      </c>
      <c r="F9" s="20" t="n">
        <v>0.855</v>
      </c>
      <c r="G9" s="20" t="n">
        <v>0.86</v>
      </c>
      <c r="H9" s="21" t="s">
        <v>47</v>
      </c>
    </row>
    <row r="10" customFormat="false" ht="18" hidden="false" customHeight="true" outlineLevel="0" collapsed="false">
      <c r="B10" s="8" t="s">
        <v>48</v>
      </c>
      <c r="C10" s="20" t="n">
        <v>0.221</v>
      </c>
      <c r="D10" s="20" t="n">
        <v>0.21</v>
      </c>
      <c r="E10" s="20" t="n">
        <v>0.221</v>
      </c>
      <c r="F10" s="20" t="n">
        <v>0.23</v>
      </c>
      <c r="G10" s="20" t="n">
        <v>0.24</v>
      </c>
      <c r="H10" s="21" t="s">
        <v>49</v>
      </c>
    </row>
    <row r="11" customFormat="false" ht="18" hidden="false" customHeight="true" outlineLevel="0" collapsed="false">
      <c r="B11" s="8" t="s">
        <v>50</v>
      </c>
      <c r="C11" s="20" t="n">
        <v>0.177</v>
      </c>
      <c r="D11" s="20" t="n">
        <v>0.187</v>
      </c>
      <c r="E11" s="20" t="n">
        <v>0.222</v>
      </c>
      <c r="F11" s="20" t="n">
        <v>0.22</v>
      </c>
      <c r="G11" s="20" t="n">
        <v>0.215</v>
      </c>
      <c r="H11" s="21" t="s">
        <v>51</v>
      </c>
    </row>
    <row r="12" customFormat="false" ht="18" hidden="false" customHeight="true" outlineLevel="0" collapsed="false">
      <c r="B12" s="8" t="s">
        <v>52</v>
      </c>
      <c r="C12" s="20" t="n">
        <v>0.131</v>
      </c>
      <c r="D12" s="20" t="n">
        <v>0.128</v>
      </c>
      <c r="E12" s="20" t="n">
        <v>0.12</v>
      </c>
      <c r="F12" s="20" t="n">
        <v>0.12</v>
      </c>
      <c r="G12" s="20" t="n">
        <v>0.115</v>
      </c>
      <c r="H12" s="21" t="s">
        <v>53</v>
      </c>
    </row>
    <row r="13" customFormat="false" ht="18" hidden="false" customHeight="true" outlineLevel="0" collapsed="false">
      <c r="B13" s="8" t="s">
        <v>54</v>
      </c>
      <c r="C13" s="20" t="n">
        <v>0.087</v>
      </c>
      <c r="D13" s="20" t="n">
        <v>0.077</v>
      </c>
      <c r="E13" s="20" t="n">
        <v>0.065</v>
      </c>
      <c r="F13" s="20" t="n">
        <v>0.065</v>
      </c>
      <c r="G13" s="20" t="n">
        <v>0.06</v>
      </c>
      <c r="H13" s="21" t="s">
        <v>55</v>
      </c>
    </row>
    <row r="14" customFormat="false" ht="7.5" hidden="false" customHeight="true" outlineLevel="0" collapsed="false"/>
    <row r="15" customFormat="false" ht="19.5" hidden="false" customHeight="true" outlineLevel="0" collapsed="false">
      <c r="B15" s="19" t="s">
        <v>56</v>
      </c>
      <c r="C15" s="19"/>
      <c r="D15" s="19"/>
      <c r="E15" s="19"/>
      <c r="F15" s="19"/>
      <c r="G15" s="19"/>
      <c r="H15" s="19"/>
    </row>
    <row r="16" customFormat="false" ht="18" hidden="false" customHeight="true" outlineLevel="0" collapsed="false">
      <c r="B16" s="8" t="s">
        <v>57</v>
      </c>
      <c r="C16" s="20" t="n">
        <v>0.18</v>
      </c>
      <c r="D16" s="20" t="n">
        <v>0.172</v>
      </c>
      <c r="E16" s="20" t="n">
        <v>0.165</v>
      </c>
      <c r="F16" s="20" t="n">
        <v>0.17</v>
      </c>
      <c r="G16" s="20" t="n">
        <v>0.17</v>
      </c>
      <c r="H16" s="21" t="s">
        <v>58</v>
      </c>
    </row>
    <row r="17" customFormat="false" ht="18" hidden="false" customHeight="true" outlineLevel="0" collapsed="false">
      <c r="B17" s="8" t="s">
        <v>59</v>
      </c>
      <c r="C17" s="22" t="n">
        <v>138</v>
      </c>
      <c r="D17" s="22" t="n">
        <v>154</v>
      </c>
      <c r="E17" s="22" t="n">
        <v>172</v>
      </c>
      <c r="F17" s="22" t="n">
        <v>188</v>
      </c>
      <c r="G17" s="22" t="n">
        <v>205</v>
      </c>
      <c r="H17" s="21" t="s">
        <v>60</v>
      </c>
    </row>
    <row r="18" customFormat="false" ht="18" hidden="false" customHeight="true" outlineLevel="0" collapsed="false">
      <c r="B18" s="8" t="s">
        <v>61</v>
      </c>
      <c r="C18" s="22" t="n">
        <v>82</v>
      </c>
      <c r="D18" s="22" t="n">
        <v>93</v>
      </c>
      <c r="E18" s="22" t="n">
        <v>108</v>
      </c>
      <c r="F18" s="22" t="n">
        <v>120</v>
      </c>
      <c r="G18" s="22" t="n">
        <v>133</v>
      </c>
      <c r="H18" s="21" t="s">
        <v>62</v>
      </c>
    </row>
    <row r="19" customFormat="false" ht="18" hidden="false" customHeight="true" outlineLevel="0" collapsed="false">
      <c r="B19" s="8" t="s">
        <v>63</v>
      </c>
      <c r="C19" s="22" t="n">
        <v>65</v>
      </c>
      <c r="D19" s="22" t="n">
        <v>62</v>
      </c>
      <c r="E19" s="22" t="n">
        <v>60</v>
      </c>
      <c r="F19" s="22" t="n">
        <v>60</v>
      </c>
      <c r="G19" s="22" t="n">
        <v>60</v>
      </c>
      <c r="H19" s="21" t="s">
        <v>64</v>
      </c>
    </row>
    <row r="20" customFormat="false" ht="7.5" hidden="false" customHeight="true" outlineLevel="0" collapsed="false"/>
    <row r="21" customFormat="false" ht="19.5" hidden="false" customHeight="true" outlineLevel="0" collapsed="false">
      <c r="B21" s="19" t="s">
        <v>65</v>
      </c>
      <c r="C21" s="19"/>
      <c r="D21" s="19"/>
      <c r="E21" s="19"/>
      <c r="F21" s="19"/>
      <c r="G21" s="19"/>
      <c r="H21" s="19"/>
    </row>
    <row r="22" customFormat="false" ht="18" hidden="false" customHeight="true" outlineLevel="0" collapsed="false">
      <c r="B22" s="8" t="s">
        <v>66</v>
      </c>
      <c r="E22" s="23" t="n">
        <v>185</v>
      </c>
      <c r="H22" s="21" t="s">
        <v>67</v>
      </c>
    </row>
    <row r="23" customFormat="false" ht="18" hidden="false" customHeight="true" outlineLevel="0" collapsed="false">
      <c r="B23" s="8" t="s">
        <v>68</v>
      </c>
      <c r="E23" s="24" t="n">
        <v>154.2</v>
      </c>
      <c r="H23" s="21" t="s">
        <v>69</v>
      </c>
    </row>
    <row r="24" customFormat="false" ht="18" hidden="false" customHeight="true" outlineLevel="0" collapsed="false">
      <c r="B24" s="8" t="s">
        <v>70</v>
      </c>
      <c r="E24" s="22" t="n">
        <v>780</v>
      </c>
      <c r="H24" s="21" t="s">
        <v>71</v>
      </c>
    </row>
    <row r="25" customFormat="false" ht="18" hidden="false" customHeight="true" outlineLevel="0" collapsed="false">
      <c r="B25" s="8" t="s">
        <v>72</v>
      </c>
      <c r="E25" s="22" t="n">
        <v>2500</v>
      </c>
      <c r="H25" s="21" t="s">
        <v>73</v>
      </c>
    </row>
    <row r="26" customFormat="false" ht="7.5" hidden="false" customHeight="true" outlineLevel="0" collapsed="false"/>
    <row r="27" customFormat="false" ht="19.5" hidden="false" customHeight="true" outlineLevel="0" collapsed="false">
      <c r="B27" s="19" t="s">
        <v>74</v>
      </c>
      <c r="C27" s="19"/>
      <c r="D27" s="19"/>
      <c r="E27" s="19"/>
      <c r="F27" s="19"/>
      <c r="G27" s="19"/>
      <c r="H27" s="19"/>
    </row>
    <row r="28" customFormat="false" ht="18" hidden="false" customHeight="true" outlineLevel="0" collapsed="false">
      <c r="B28" s="8" t="s">
        <v>75</v>
      </c>
      <c r="E28" s="25" t="n">
        <v>1.05</v>
      </c>
      <c r="H28" s="21" t="s">
        <v>76</v>
      </c>
    </row>
    <row r="29" customFormat="false" ht="18" hidden="false" customHeight="true" outlineLevel="0" collapsed="false">
      <c r="B29" s="8" t="s">
        <v>77</v>
      </c>
      <c r="E29" s="20" t="n">
        <v>0.045</v>
      </c>
      <c r="H29" s="21" t="s">
        <v>78</v>
      </c>
    </row>
    <row r="30" customFormat="false" ht="18" hidden="false" customHeight="true" outlineLevel="0" collapsed="false">
      <c r="B30" s="8" t="s">
        <v>79</v>
      </c>
      <c r="E30" s="20" t="n">
        <v>0.055</v>
      </c>
      <c r="H30" s="21" t="s">
        <v>80</v>
      </c>
    </row>
    <row r="31" customFormat="false" ht="18" hidden="false" customHeight="true" outlineLevel="0" collapsed="false">
      <c r="B31" s="8" t="s">
        <v>81</v>
      </c>
      <c r="E31" s="20" t="n">
        <v>0.04</v>
      </c>
      <c r="H31" s="21" t="s">
        <v>82</v>
      </c>
    </row>
  </sheetData>
  <mergeCells count="7">
    <mergeCell ref="B1:H1"/>
    <mergeCell ref="B2:H2"/>
    <mergeCell ref="B4:H4"/>
    <mergeCell ref="B8:H8"/>
    <mergeCell ref="B15:H15"/>
    <mergeCell ref="B21:H21"/>
    <mergeCell ref="B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B1:H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8"/>
    <col collapsed="false" customWidth="true" hidden="false" outlineLevel="0" max="7" min="3" style="1" width="14"/>
    <col collapsed="false" customWidth="true" hidden="false" outlineLevel="0" max="8" min="8" style="1" width="38"/>
  </cols>
  <sheetData>
    <row r="1" customFormat="false" ht="25.5" hidden="false" customHeight="true" outlineLevel="0" collapsed="false">
      <c r="B1" s="15" t="s">
        <v>83</v>
      </c>
      <c r="C1" s="15"/>
      <c r="D1" s="15"/>
      <c r="E1" s="15"/>
      <c r="F1" s="15"/>
      <c r="G1" s="15"/>
      <c r="H1" s="15"/>
    </row>
    <row r="2" customFormat="false" ht="15.75" hidden="false" customHeight="true" outlineLevel="0" collapsed="false">
      <c r="B2" s="16" t="s">
        <v>84</v>
      </c>
      <c r="C2" s="16"/>
      <c r="D2" s="16"/>
      <c r="E2" s="16"/>
      <c r="F2" s="16"/>
      <c r="G2" s="16"/>
      <c r="H2" s="16"/>
    </row>
    <row r="3" customFormat="false" ht="19.5" hidden="false" customHeight="true" outlineLevel="0" collapsed="false">
      <c r="B3" s="26"/>
      <c r="C3" s="17" t="s">
        <v>34</v>
      </c>
      <c r="D3" s="17" t="s">
        <v>35</v>
      </c>
      <c r="E3" s="17" t="s">
        <v>36</v>
      </c>
      <c r="F3" s="17" t="s">
        <v>37</v>
      </c>
      <c r="G3" s="17" t="s">
        <v>38</v>
      </c>
      <c r="H3" s="18" t="s">
        <v>85</v>
      </c>
    </row>
    <row r="4" customFormat="false" ht="19.5" hidden="false" customHeight="true" outlineLevel="0" collapsed="false">
      <c r="B4" s="19" t="s">
        <v>86</v>
      </c>
      <c r="C4" s="19"/>
      <c r="D4" s="19"/>
      <c r="E4" s="19"/>
      <c r="F4" s="19"/>
      <c r="G4" s="19"/>
      <c r="H4" s="19"/>
    </row>
    <row r="5" customFormat="false" ht="15" hidden="false" customHeight="true" outlineLevel="0" collapsed="false">
      <c r="B5" s="8" t="s">
        <v>87</v>
      </c>
      <c r="C5" s="27" t="n">
        <v>1440</v>
      </c>
      <c r="D5" s="27" t="n">
        <v>1750</v>
      </c>
      <c r="E5" s="27" t="n">
        <v>1898</v>
      </c>
      <c r="F5" s="28" t="n">
        <f aca="false">E5*(1+Assumptions!F5)</f>
        <v>2125.76</v>
      </c>
      <c r="G5" s="28" t="n">
        <f aca="false">F5*(1+Assumptions!G5)</f>
        <v>2423.3664</v>
      </c>
      <c r="H5" s="21" t="s">
        <v>88</v>
      </c>
    </row>
    <row r="6" customFormat="false" ht="15" hidden="false" customHeight="true" outlineLevel="0" collapsed="false">
      <c r="B6" s="8" t="s">
        <v>89</v>
      </c>
      <c r="C6" s="27" t="n">
        <v>411</v>
      </c>
      <c r="D6" s="27" t="n">
        <v>410</v>
      </c>
      <c r="E6" s="27" t="n">
        <v>461</v>
      </c>
      <c r="F6" s="28" t="n">
        <f aca="false">E6*(1+Assumptions!F6)</f>
        <v>484.05</v>
      </c>
      <c r="G6" s="28" t="n">
        <f aca="false">F6*(1+Assumptions!G6)</f>
        <v>517.9335</v>
      </c>
      <c r="H6" s="21" t="s">
        <v>90</v>
      </c>
    </row>
    <row r="7" customFormat="false" ht="15" hidden="false" customHeight="true" outlineLevel="0" collapsed="false">
      <c r="B7" s="29" t="s">
        <v>91</v>
      </c>
      <c r="C7" s="30" t="n">
        <f aca="false">C5+C6</f>
        <v>1851</v>
      </c>
      <c r="D7" s="30" t="n">
        <f aca="false">D5+D6</f>
        <v>2160</v>
      </c>
      <c r="E7" s="30" t="n">
        <f aca="false">E5+E6</f>
        <v>2359</v>
      </c>
      <c r="F7" s="30" t="n">
        <f aca="false">F5+F6</f>
        <v>2609.81</v>
      </c>
      <c r="G7" s="30" t="n">
        <f aca="false">G5+G6</f>
        <v>2941.2999</v>
      </c>
      <c r="H7" s="31" t="s">
        <v>92</v>
      </c>
    </row>
    <row r="8" customFormat="false" ht="7.5" hidden="false" customHeight="true" outlineLevel="0" collapsed="false"/>
    <row r="9" customFormat="false" ht="19.5" hidden="false" customHeight="true" outlineLevel="0" collapsed="false">
      <c r="B9" s="19" t="s">
        <v>93</v>
      </c>
      <c r="C9" s="19"/>
      <c r="D9" s="19"/>
      <c r="E9" s="19"/>
      <c r="F9" s="19"/>
      <c r="G9" s="19"/>
      <c r="H9" s="19"/>
    </row>
    <row r="10" customFormat="false" ht="15" hidden="false" customHeight="true" outlineLevel="0" collapsed="false">
      <c r="B10" s="8" t="s">
        <v>94</v>
      </c>
      <c r="C10" s="27" t="n">
        <v>228</v>
      </c>
      <c r="D10" s="27" t="n">
        <v>269</v>
      </c>
      <c r="E10" s="27" t="n">
        <v>285</v>
      </c>
      <c r="F10" s="28" t="n">
        <f aca="false">F5*(1-Assumptions!F9)</f>
        <v>308.2352</v>
      </c>
      <c r="G10" s="28" t="n">
        <f aca="false">G5*(1-Assumptions!G9)</f>
        <v>339.271296</v>
      </c>
      <c r="H10" s="21" t="s">
        <v>95</v>
      </c>
    </row>
    <row r="11" customFormat="false" ht="15" hidden="false" customHeight="true" outlineLevel="0" collapsed="false">
      <c r="B11" s="8" t="s">
        <v>96</v>
      </c>
      <c r="C11" s="27" t="n">
        <v>320</v>
      </c>
      <c r="D11" s="27" t="n">
        <v>324</v>
      </c>
      <c r="E11" s="27" t="n">
        <v>359</v>
      </c>
      <c r="F11" s="28" t="n">
        <f aca="false">F6*(1-Assumptions!F10)</f>
        <v>372.7185</v>
      </c>
      <c r="G11" s="28" t="n">
        <f aca="false">G6*(1-Assumptions!G10)</f>
        <v>393.62946</v>
      </c>
      <c r="H11" s="21" t="s">
        <v>97</v>
      </c>
    </row>
    <row r="12" customFormat="false" ht="7.5" hidden="false" customHeight="true" outlineLevel="0" collapsed="false"/>
    <row r="13" customFormat="false" ht="19.5" hidden="false" customHeight="true" outlineLevel="0" collapsed="false">
      <c r="B13" s="19" t="s">
        <v>98</v>
      </c>
      <c r="C13" s="19"/>
      <c r="D13" s="19"/>
      <c r="E13" s="19"/>
      <c r="F13" s="19"/>
      <c r="G13" s="19"/>
      <c r="H13" s="19"/>
    </row>
    <row r="14" customFormat="false" ht="15" hidden="false" customHeight="true" outlineLevel="0" collapsed="false">
      <c r="B14" s="8" t="s">
        <v>99</v>
      </c>
      <c r="C14" s="32" t="n">
        <f aca="false">C5-C10</f>
        <v>1212</v>
      </c>
      <c r="D14" s="32" t="n">
        <f aca="false">D5-D10</f>
        <v>1481</v>
      </c>
      <c r="E14" s="32" t="n">
        <f aca="false">E5-E10</f>
        <v>1613</v>
      </c>
      <c r="F14" s="32" t="n">
        <f aca="false">F5-F10</f>
        <v>1817.5248</v>
      </c>
      <c r="G14" s="32" t="n">
        <f aca="false">G5-G10</f>
        <v>2084.095104</v>
      </c>
    </row>
    <row r="15" customFormat="false" ht="15" hidden="false" customHeight="true" outlineLevel="0" collapsed="false">
      <c r="B15" s="8" t="s">
        <v>100</v>
      </c>
      <c r="C15" s="32" t="n">
        <f aca="false">C6-C11</f>
        <v>91</v>
      </c>
      <c r="D15" s="32" t="n">
        <f aca="false">D6-D11</f>
        <v>86</v>
      </c>
      <c r="E15" s="32" t="n">
        <f aca="false">E6-E11</f>
        <v>102</v>
      </c>
      <c r="F15" s="32" t="n">
        <f aca="false">F6-F11</f>
        <v>111.3315</v>
      </c>
      <c r="G15" s="32" t="n">
        <f aca="false">G6-G11</f>
        <v>124.30404</v>
      </c>
    </row>
    <row r="16" customFormat="false" ht="15" hidden="false" customHeight="true" outlineLevel="0" collapsed="false">
      <c r="B16" s="29" t="s">
        <v>101</v>
      </c>
      <c r="C16" s="30" t="n">
        <f aca="false">C14+C15</f>
        <v>1303</v>
      </c>
      <c r="D16" s="30" t="n">
        <f aca="false">D14+D15</f>
        <v>1567</v>
      </c>
      <c r="E16" s="30" t="n">
        <f aca="false">E14+E15</f>
        <v>1715</v>
      </c>
      <c r="F16" s="30" t="n">
        <f aca="false">F14+F15</f>
        <v>1928.8563</v>
      </c>
      <c r="G16" s="30" t="n">
        <f aca="false">G14+G15</f>
        <v>2208.399144</v>
      </c>
      <c r="H16" s="33"/>
    </row>
    <row r="17" customFormat="false" ht="15" hidden="false" customHeight="true" outlineLevel="0" collapsed="false">
      <c r="B17" s="34" t="s">
        <v>102</v>
      </c>
      <c r="C17" s="35" t="n">
        <f aca="false">IFERROR(C16/C7,0)</f>
        <v>0.703943814154511</v>
      </c>
      <c r="D17" s="35" t="n">
        <f aca="false">IFERROR(D16/D7,0)</f>
        <v>0.725462962962963</v>
      </c>
      <c r="E17" s="35" t="n">
        <f aca="false">IFERROR(E16/E7,0)</f>
        <v>0.727002967359051</v>
      </c>
      <c r="F17" s="35" t="n">
        <f aca="false">IFERROR(F16/F7,0)</f>
        <v>0.739079204999598</v>
      </c>
      <c r="G17" s="35" t="n">
        <f aca="false">IFERROR(G16/G7,0)</f>
        <v>0.750824199871628</v>
      </c>
    </row>
    <row r="18" customFormat="false" ht="7.5" hidden="false" customHeight="true" outlineLevel="0" collapsed="false"/>
    <row r="19" customFormat="false" ht="19.5" hidden="false" customHeight="true" outlineLevel="0" collapsed="false">
      <c r="B19" s="19" t="s">
        <v>103</v>
      </c>
      <c r="C19" s="19"/>
      <c r="D19" s="19"/>
      <c r="E19" s="19"/>
      <c r="F19" s="19"/>
      <c r="G19" s="19"/>
      <c r="H19" s="19"/>
    </row>
    <row r="20" customFormat="false" ht="18" hidden="false" customHeight="true" outlineLevel="0" collapsed="false">
      <c r="B20" s="8" t="s">
        <v>104</v>
      </c>
      <c r="C20" s="27" t="n">
        <v>327</v>
      </c>
      <c r="D20" s="27" t="n">
        <v>404</v>
      </c>
      <c r="E20" s="27" t="n">
        <v>524</v>
      </c>
      <c r="F20" s="28" t="n">
        <f aca="false">F7*Assumptions!F11</f>
        <v>574.1582</v>
      </c>
      <c r="G20" s="28" t="n">
        <f aca="false">G7*Assumptions!G11</f>
        <v>632.3794785</v>
      </c>
      <c r="H20" s="21" t="s">
        <v>105</v>
      </c>
    </row>
    <row r="21" customFormat="false" ht="18" hidden="false" customHeight="true" outlineLevel="0" collapsed="false">
      <c r="B21" s="8" t="s">
        <v>106</v>
      </c>
      <c r="C21" s="27" t="n">
        <v>243</v>
      </c>
      <c r="D21" s="27" t="n">
        <v>276</v>
      </c>
      <c r="E21" s="27" t="n">
        <v>283</v>
      </c>
      <c r="F21" s="28" t="n">
        <f aca="false">F7*Assumptions!F12</f>
        <v>313.1772</v>
      </c>
      <c r="G21" s="28" t="n">
        <f aca="false">G7*Assumptions!G12</f>
        <v>338.2494885</v>
      </c>
      <c r="H21" s="21" t="s">
        <v>107</v>
      </c>
    </row>
    <row r="22" customFormat="false" ht="18" hidden="false" customHeight="true" outlineLevel="0" collapsed="false">
      <c r="B22" s="8" t="s">
        <v>108</v>
      </c>
      <c r="C22" s="27" t="n">
        <v>161</v>
      </c>
      <c r="D22" s="27" t="n">
        <v>167</v>
      </c>
      <c r="E22" s="27" t="n">
        <v>153</v>
      </c>
      <c r="F22" s="28" t="n">
        <f aca="false">F7*Assumptions!F13</f>
        <v>169.63765</v>
      </c>
      <c r="G22" s="28" t="n">
        <f aca="false">G7*Assumptions!G13</f>
        <v>176.477994</v>
      </c>
      <c r="H22" s="21" t="s">
        <v>109</v>
      </c>
    </row>
    <row r="23" customFormat="false" ht="15" hidden="false" customHeight="true" outlineLevel="0" collapsed="false">
      <c r="B23" s="29" t="s">
        <v>110</v>
      </c>
      <c r="C23" s="30" t="n">
        <f aca="false">C20+C21+C22</f>
        <v>731</v>
      </c>
      <c r="D23" s="30" t="n">
        <f aca="false">D20+D21+D22</f>
        <v>847</v>
      </c>
      <c r="E23" s="30" t="n">
        <f aca="false">E20+E21+E22</f>
        <v>960</v>
      </c>
      <c r="F23" s="30" t="n">
        <f aca="false">F20+F21+F22</f>
        <v>1056.97305</v>
      </c>
      <c r="G23" s="30" t="n">
        <f aca="false">G20+G21+G22</f>
        <v>1147.106961</v>
      </c>
      <c r="H23" s="33"/>
    </row>
    <row r="24" customFormat="false" ht="7.5" hidden="false" customHeight="true" outlineLevel="0" collapsed="false"/>
    <row r="25" customFormat="false" ht="19.5" hidden="false" customHeight="true" outlineLevel="0" collapsed="false">
      <c r="B25" s="19" t="s">
        <v>111</v>
      </c>
      <c r="C25" s="19"/>
      <c r="D25" s="19"/>
      <c r="E25" s="19"/>
      <c r="F25" s="19"/>
      <c r="G25" s="19"/>
      <c r="H25" s="19"/>
    </row>
    <row r="26" customFormat="false" ht="15" hidden="false" customHeight="true" outlineLevel="0" collapsed="false">
      <c r="B26" s="29" t="s">
        <v>112</v>
      </c>
      <c r="C26" s="30" t="n">
        <f aca="false">C16-C23</f>
        <v>572</v>
      </c>
      <c r="D26" s="30" t="n">
        <f aca="false">D16-D23</f>
        <v>720</v>
      </c>
      <c r="E26" s="30" t="n">
        <f aca="false">E16-E23</f>
        <v>755</v>
      </c>
      <c r="F26" s="30" t="n">
        <f aca="false">F16-F23</f>
        <v>871.88325</v>
      </c>
      <c r="G26" s="30" t="n">
        <f aca="false">G16-G23</f>
        <v>1061.292183</v>
      </c>
      <c r="H26" s="31" t="s">
        <v>113</v>
      </c>
    </row>
    <row r="27" customFormat="false" ht="15" hidden="false" customHeight="true" outlineLevel="0" collapsed="false">
      <c r="B27" s="34" t="s">
        <v>114</v>
      </c>
      <c r="C27" s="35" t="n">
        <f aca="false">IFERROR(C26/C7,0)</f>
        <v>0.309022150189087</v>
      </c>
      <c r="D27" s="35" t="n">
        <f aca="false">IFERROR(D26/D7,0)</f>
        <v>0.333333333333333</v>
      </c>
      <c r="E27" s="35" t="n">
        <f aca="false">IFERROR(E26/E7,0)</f>
        <v>0.320050869012293</v>
      </c>
      <c r="F27" s="35" t="n">
        <f aca="false">IFERROR(F26/F7,0)</f>
        <v>0.334079204999598</v>
      </c>
      <c r="G27" s="35" t="n">
        <f aca="false">IFERROR(G26/G7,0)</f>
        <v>0.360824199871628</v>
      </c>
    </row>
    <row r="28" customFormat="false" ht="7.5" hidden="false" customHeight="true" outlineLevel="0" collapsed="false"/>
    <row r="29" customFormat="false" ht="19.5" hidden="false" customHeight="true" outlineLevel="0" collapsed="false">
      <c r="B29" s="19" t="s">
        <v>115</v>
      </c>
      <c r="C29" s="19"/>
      <c r="D29" s="19"/>
      <c r="E29" s="19"/>
      <c r="F29" s="19"/>
      <c r="G29" s="19"/>
      <c r="H29" s="19"/>
    </row>
    <row r="30" customFormat="false" ht="15" hidden="false" customHeight="true" outlineLevel="0" collapsed="false">
      <c r="B30" s="34" t="s">
        <v>116</v>
      </c>
      <c r="C30" s="36" t="n">
        <f aca="false">Assumptions!C17</f>
        <v>138</v>
      </c>
      <c r="D30" s="36" t="n">
        <f aca="false">Assumptions!D17</f>
        <v>154</v>
      </c>
      <c r="E30" s="36" t="n">
        <f aca="false">Assumptions!E17</f>
        <v>172</v>
      </c>
      <c r="F30" s="36" t="n">
        <f aca="false">Assumptions!F17</f>
        <v>188</v>
      </c>
      <c r="G30" s="36" t="n">
        <f aca="false">Assumptions!G17</f>
        <v>205</v>
      </c>
    </row>
    <row r="31" customFormat="false" ht="15" hidden="false" customHeight="true" outlineLevel="0" collapsed="false">
      <c r="B31" s="29" t="s">
        <v>117</v>
      </c>
      <c r="C31" s="30" t="n">
        <f aca="false">C26+C30</f>
        <v>710</v>
      </c>
      <c r="D31" s="30" t="n">
        <f aca="false">D26+D30</f>
        <v>874</v>
      </c>
      <c r="E31" s="30" t="n">
        <f aca="false">E26+E30</f>
        <v>927</v>
      </c>
      <c r="F31" s="30" t="n">
        <f aca="false">F26+F30</f>
        <v>1059.88325</v>
      </c>
      <c r="G31" s="30" t="n">
        <f aca="false">G26+G30</f>
        <v>1266.292183</v>
      </c>
      <c r="H31" s="31" t="s">
        <v>118</v>
      </c>
    </row>
    <row r="32" customFormat="false" ht="15" hidden="false" customHeight="true" outlineLevel="0" collapsed="false">
      <c r="B32" s="34" t="s">
        <v>119</v>
      </c>
      <c r="C32" s="35" t="n">
        <f aca="false">IFERROR(C31/C7,0)</f>
        <v>0.383576445164776</v>
      </c>
      <c r="D32" s="35" t="n">
        <f aca="false">IFERROR(D31/D7,0)</f>
        <v>0.40462962962963</v>
      </c>
      <c r="E32" s="35" t="n">
        <f aca="false">IFERROR(E31/E7,0)</f>
        <v>0.392963119966087</v>
      </c>
      <c r="F32" s="35" t="n">
        <f aca="false">IFERROR(F31/F7,0)</f>
        <v>0.406115100332974</v>
      </c>
      <c r="G32" s="35" t="n">
        <f aca="false">IFERROR(G31/G7,0)</f>
        <v>0.430521274964175</v>
      </c>
    </row>
    <row r="33" customFormat="false" ht="7.5" hidden="false" customHeight="true" outlineLevel="0" collapsed="false"/>
    <row r="34" customFormat="false" ht="19.5" hidden="false" customHeight="true" outlineLevel="0" collapsed="false">
      <c r="B34" s="19" t="s">
        <v>120</v>
      </c>
      <c r="C34" s="19"/>
      <c r="D34" s="19"/>
      <c r="E34" s="19"/>
      <c r="F34" s="19"/>
      <c r="G34" s="19"/>
      <c r="H34" s="19"/>
    </row>
    <row r="35" customFormat="false" ht="15" hidden="false" customHeight="true" outlineLevel="0" collapsed="false">
      <c r="B35" s="8" t="s">
        <v>121</v>
      </c>
      <c r="C35" s="27" t="n">
        <v>22</v>
      </c>
      <c r="D35" s="27" t="n">
        <v>45</v>
      </c>
      <c r="E35" s="27" t="n">
        <v>120</v>
      </c>
      <c r="F35" s="32" t="n">
        <f aca="false">E35*1.1</f>
        <v>132</v>
      </c>
      <c r="G35" s="32" t="n">
        <f aca="false">F35*1.05</f>
        <v>138.6</v>
      </c>
      <c r="H35" s="21" t="s">
        <v>122</v>
      </c>
    </row>
    <row r="36" customFormat="false" ht="15" hidden="false" customHeight="true" outlineLevel="0" collapsed="false">
      <c r="B36" s="26" t="s">
        <v>123</v>
      </c>
      <c r="C36" s="37" t="n">
        <f aca="false">C26+C35</f>
        <v>594</v>
      </c>
      <c r="D36" s="37" t="n">
        <f aca="false">D26+D35</f>
        <v>765</v>
      </c>
      <c r="E36" s="37" t="n">
        <f aca="false">E26+E35</f>
        <v>875</v>
      </c>
      <c r="F36" s="37" t="n">
        <f aca="false">F26+F35</f>
        <v>1003.88325</v>
      </c>
      <c r="G36" s="37" t="n">
        <f aca="false">G26+G35</f>
        <v>1199.892183</v>
      </c>
    </row>
    <row r="37" customFormat="false" ht="15" hidden="false" customHeight="true" outlineLevel="0" collapsed="false">
      <c r="B37" s="8" t="s">
        <v>124</v>
      </c>
      <c r="C37" s="28" t="n">
        <f aca="false">C36*Assumptions!C16</f>
        <v>106.92</v>
      </c>
      <c r="D37" s="28" t="n">
        <f aca="false">D36*Assumptions!D16</f>
        <v>131.58</v>
      </c>
      <c r="E37" s="28" t="n">
        <f aca="false">E36*Assumptions!E16</f>
        <v>144.375</v>
      </c>
      <c r="F37" s="28" t="n">
        <f aca="false">F36*Assumptions!F16</f>
        <v>170.6601525</v>
      </c>
      <c r="G37" s="28" t="n">
        <f aca="false">G36*Assumptions!G16</f>
        <v>203.98167111</v>
      </c>
      <c r="H37" s="21" t="s">
        <v>125</v>
      </c>
    </row>
    <row r="38" customFormat="false" ht="15" hidden="false" customHeight="true" outlineLevel="0" collapsed="false">
      <c r="B38" s="29" t="s">
        <v>126</v>
      </c>
      <c r="C38" s="38" t="n">
        <f aca="false">C36-C37</f>
        <v>487.08</v>
      </c>
      <c r="D38" s="38" t="n">
        <f aca="false">D36-D37</f>
        <v>633.42</v>
      </c>
      <c r="E38" s="38" t="n">
        <f aca="false">E36-E37</f>
        <v>730.625</v>
      </c>
      <c r="F38" s="38" t="n">
        <f aca="false">F36-F37</f>
        <v>833.2230975</v>
      </c>
      <c r="G38" s="38" t="n">
        <f aca="false">G36-G37</f>
        <v>995.91051189</v>
      </c>
      <c r="H38" s="33"/>
    </row>
    <row r="39" customFormat="false" ht="15" hidden="false" customHeight="true" outlineLevel="0" collapsed="false">
      <c r="B39" s="34" t="s">
        <v>127</v>
      </c>
      <c r="C39" s="35" t="n">
        <f aca="false">IFERROR(C38/C7,0)</f>
        <v>0.263144246353323</v>
      </c>
      <c r="D39" s="35" t="n">
        <f aca="false">IFERROR(D38/D7,0)</f>
        <v>0.29325</v>
      </c>
      <c r="E39" s="35" t="n">
        <f aca="false">IFERROR(E38/E7,0)</f>
        <v>0.309718100890208</v>
      </c>
      <c r="F39" s="35" t="n">
        <f aca="false">IFERROR(F38/F7,0)</f>
        <v>0.319265807664159</v>
      </c>
      <c r="G39" s="35" t="n">
        <f aca="false">IFERROR(G38/G7,0)</f>
        <v>0.338595364549531</v>
      </c>
    </row>
    <row r="40" customFormat="false" ht="7.5" hidden="false" customHeight="true" outlineLevel="0" collapsed="false"/>
    <row r="41" customFormat="false" ht="19.5" hidden="false" customHeight="true" outlineLevel="0" collapsed="false">
      <c r="B41" s="19" t="s">
        <v>128</v>
      </c>
      <c r="C41" s="19"/>
      <c r="D41" s="19"/>
      <c r="E41" s="19"/>
      <c r="F41" s="19"/>
      <c r="G41" s="19"/>
      <c r="H41" s="19"/>
    </row>
    <row r="42" customFormat="false" ht="15" hidden="false" customHeight="true" outlineLevel="0" collapsed="false">
      <c r="B42" s="8" t="s">
        <v>129</v>
      </c>
      <c r="C42" s="24" t="n">
        <v>163.8</v>
      </c>
      <c r="D42" s="24" t="n">
        <v>158.4</v>
      </c>
      <c r="E42" s="24" t="n">
        <v>154.2</v>
      </c>
      <c r="F42" s="39" t="n">
        <f aca="false">E42*0.99</f>
        <v>152.658</v>
      </c>
      <c r="G42" s="39" t="n">
        <f aca="false">F42*0.99</f>
        <v>151.13142</v>
      </c>
      <c r="H42" s="21" t="s">
        <v>130</v>
      </c>
    </row>
    <row r="43" customFormat="false" ht="15" hidden="false" customHeight="true" outlineLevel="0" collapsed="false">
      <c r="B43" s="26" t="s">
        <v>131</v>
      </c>
      <c r="C43" s="40" t="n">
        <f aca="false">IFERROR(C38/C42,0)</f>
        <v>2.97362637362637</v>
      </c>
      <c r="D43" s="40" t="n">
        <f aca="false">IFERROR(D38/D42,0)</f>
        <v>3.99886363636364</v>
      </c>
      <c r="E43" s="40" t="n">
        <f aca="false">IFERROR(E38/E42,0)</f>
        <v>4.73816472114138</v>
      </c>
      <c r="F43" s="40" t="n">
        <f aca="false">IFERROR(F38/F42,0)</f>
        <v>5.45810306371104</v>
      </c>
      <c r="G43" s="40" t="n">
        <f aca="false">IFERROR(G38/G42,0)</f>
        <v>6.58969863374539</v>
      </c>
      <c r="H43" s="21" t="s">
        <v>132</v>
      </c>
    </row>
    <row r="44" customFormat="false" ht="15.75" hidden="false" customHeight="true" outlineLevel="0" collapsed="false"/>
    <row r="45" customFormat="false" ht="21.75" hidden="false" customHeight="true" outlineLevel="0" collapsed="false">
      <c r="B45" s="19" t="s">
        <v>133</v>
      </c>
      <c r="C45" s="19"/>
      <c r="D45" s="19"/>
      <c r="E45" s="19"/>
      <c r="F45" s="19"/>
      <c r="G45" s="19"/>
      <c r="H45" s="19"/>
    </row>
    <row r="46" customFormat="false" ht="36" hidden="false" customHeight="true" outlineLevel="0" collapsed="false">
      <c r="B46" s="41" t="s">
        <v>134</v>
      </c>
      <c r="C46" s="41"/>
      <c r="D46" s="41"/>
      <c r="E46" s="41"/>
      <c r="F46" s="41"/>
      <c r="G46" s="41"/>
      <c r="H46" s="41"/>
    </row>
    <row r="47" customFormat="false" ht="19.5" hidden="false" customHeight="true" outlineLevel="0" collapsed="false">
      <c r="C47" s="17" t="s">
        <v>135</v>
      </c>
      <c r="D47" s="17" t="s">
        <v>136</v>
      </c>
      <c r="E47" s="17" t="s">
        <v>137</v>
      </c>
      <c r="F47" s="17" t="s">
        <v>138</v>
      </c>
      <c r="G47" s="17" t="s">
        <v>139</v>
      </c>
      <c r="H47" s="17" t="s">
        <v>85</v>
      </c>
    </row>
    <row r="48" customFormat="false" ht="19.5" hidden="false" customHeight="true" outlineLevel="0" collapsed="false">
      <c r="B48" s="8" t="s">
        <v>140</v>
      </c>
      <c r="C48" s="27" t="n">
        <v>445</v>
      </c>
      <c r="D48" s="27" t="n">
        <v>462</v>
      </c>
      <c r="E48" s="27" t="n">
        <v>462</v>
      </c>
      <c r="F48" s="27" t="n">
        <v>529</v>
      </c>
      <c r="G48" s="37" t="n">
        <f aca="false">SUM(C48:F48)</f>
        <v>1898</v>
      </c>
      <c r="H48" s="21" t="s">
        <v>141</v>
      </c>
    </row>
    <row r="49" customFormat="false" ht="19.5" hidden="false" customHeight="true" outlineLevel="0" collapsed="false">
      <c r="B49" s="8" t="s">
        <v>142</v>
      </c>
      <c r="C49" s="27" t="n">
        <v>113</v>
      </c>
      <c r="D49" s="27" t="n">
        <v>117</v>
      </c>
      <c r="E49" s="27" t="n">
        <v>135</v>
      </c>
      <c r="F49" s="27" t="n">
        <v>96</v>
      </c>
      <c r="G49" s="37" t="n">
        <f aca="false">SUM(C49:F49)</f>
        <v>461</v>
      </c>
      <c r="H49" s="21" t="s">
        <v>143</v>
      </c>
    </row>
    <row r="50" customFormat="false" ht="15" hidden="false" customHeight="true" outlineLevel="0" collapsed="false">
      <c r="B50" s="29" t="s">
        <v>144</v>
      </c>
      <c r="C50" s="30" t="n">
        <f aca="false">C48+C49</f>
        <v>558</v>
      </c>
      <c r="D50" s="30" t="n">
        <f aca="false">D48+D49</f>
        <v>579</v>
      </c>
      <c r="E50" s="30" t="n">
        <f aca="false">E48+E49</f>
        <v>597</v>
      </c>
      <c r="F50" s="30" t="n">
        <f aca="false">F48+F49</f>
        <v>625</v>
      </c>
      <c r="G50" s="30" t="n">
        <f aca="false">G48+G49</f>
        <v>2359</v>
      </c>
      <c r="H50" s="33"/>
    </row>
    <row r="51" customFormat="false" ht="6" hidden="false" customHeight="true" outlineLevel="0" collapsed="false"/>
    <row r="52" customFormat="false" ht="18" hidden="false" customHeight="true" outlineLevel="0" collapsed="false">
      <c r="B52" s="34" t="s">
        <v>145</v>
      </c>
      <c r="C52" s="42" t="n">
        <v>460</v>
      </c>
      <c r="D52" s="42" t="n">
        <v>472</v>
      </c>
      <c r="E52" s="42" t="n">
        <v>495</v>
      </c>
      <c r="F52" s="42" t="n">
        <v>535</v>
      </c>
      <c r="G52" s="42" t="n">
        <f aca="false">SUM(C52:F52)</f>
        <v>1962</v>
      </c>
    </row>
    <row r="53" customFormat="false" ht="18" hidden="false" customHeight="true" outlineLevel="0" collapsed="false">
      <c r="B53" s="34" t="s">
        <v>146</v>
      </c>
      <c r="C53" s="42" t="n">
        <v>110</v>
      </c>
      <c r="D53" s="42" t="n">
        <v>123</v>
      </c>
      <c r="E53" s="42" t="n">
        <v>140</v>
      </c>
      <c r="F53" s="42" t="n">
        <v>105</v>
      </c>
      <c r="G53" s="42" t="n">
        <f aca="false">SUM(C53:F53)</f>
        <v>478</v>
      </c>
    </row>
    <row r="54" customFormat="false" ht="18" hidden="false" customHeight="true" outlineLevel="0" collapsed="false">
      <c r="B54" s="34" t="s">
        <v>147</v>
      </c>
      <c r="C54" s="42" t="n">
        <f aca="false">C52+C53</f>
        <v>570</v>
      </c>
      <c r="D54" s="42" t="n">
        <f aca="false">D52+D53</f>
        <v>595</v>
      </c>
      <c r="E54" s="42" t="n">
        <f aca="false">E52+E53</f>
        <v>635</v>
      </c>
      <c r="F54" s="42" t="n">
        <f aca="false">F52+F53</f>
        <v>640</v>
      </c>
      <c r="G54" s="42" t="n">
        <f aca="false">G52+G53</f>
        <v>2440</v>
      </c>
    </row>
    <row r="55" customFormat="false" ht="6" hidden="false" customHeight="true" outlineLevel="0" collapsed="false"/>
    <row r="56" customFormat="false" ht="21.75" hidden="false" customHeight="true" outlineLevel="0" collapsed="false">
      <c r="B56" s="29" t="s">
        <v>148</v>
      </c>
      <c r="C56" s="30" t="n">
        <f aca="false">C50-C54</f>
        <v>-12</v>
      </c>
      <c r="D56" s="30" t="n">
        <f aca="false">D50-D54</f>
        <v>-16</v>
      </c>
      <c r="E56" s="43" t="n">
        <f aca="false">E50-E54</f>
        <v>-38</v>
      </c>
      <c r="F56" s="30" t="n">
        <f aca="false">F50-F54</f>
        <v>-15</v>
      </c>
      <c r="G56" s="30" t="n">
        <f aca="false">G50-G54</f>
        <v>-81</v>
      </c>
      <c r="H56" s="44" t="s">
        <v>149</v>
      </c>
    </row>
    <row r="57" customFormat="false" ht="21.75" hidden="false" customHeight="true" outlineLevel="0" collapsed="false">
      <c r="B57" s="29" t="s">
        <v>150</v>
      </c>
      <c r="C57" s="45" t="n">
        <f aca="false">IFERROR(C56/C54,0)</f>
        <v>-0.0210526315789474</v>
      </c>
      <c r="D57" s="45" t="n">
        <f aca="false">IFERROR(D56/D54,0)</f>
        <v>-0.026890756302521</v>
      </c>
      <c r="E57" s="46" t="n">
        <f aca="false">IFERROR(E56/E54,0)</f>
        <v>-0.0598425196850394</v>
      </c>
      <c r="F57" s="45" t="n">
        <f aca="false">IFERROR(F56/F54,0)</f>
        <v>-0.0234375</v>
      </c>
      <c r="G57" s="45" t="n">
        <f aca="false">IFERROR(G56/G54,0)</f>
        <v>-0.0331967213114754</v>
      </c>
      <c r="H57" s="44"/>
    </row>
  </sheetData>
  <mergeCells count="13">
    <mergeCell ref="B1:H1"/>
    <mergeCell ref="B2:H2"/>
    <mergeCell ref="B4:H4"/>
    <mergeCell ref="B9:H9"/>
    <mergeCell ref="B13:H13"/>
    <mergeCell ref="B19:H19"/>
    <mergeCell ref="B25:H25"/>
    <mergeCell ref="B29:H29"/>
    <mergeCell ref="B34:H34"/>
    <mergeCell ref="B41:H41"/>
    <mergeCell ref="B45:H45"/>
    <mergeCell ref="B46:H46"/>
    <mergeCell ref="H56:H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900"/>
    <pageSetUpPr fitToPage="false"/>
  </sheetPr>
  <dimension ref="B1:H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8"/>
    <col collapsed="false" customWidth="true" hidden="false" outlineLevel="0" max="7" min="3" style="1" width="14"/>
    <col collapsed="false" customWidth="true" hidden="false" outlineLevel="0" max="8" min="8" style="1" width="40"/>
  </cols>
  <sheetData>
    <row r="1" customFormat="false" ht="25.5" hidden="false" customHeight="true" outlineLevel="0" collapsed="false">
      <c r="B1" s="15" t="s">
        <v>151</v>
      </c>
      <c r="C1" s="15"/>
      <c r="D1" s="15"/>
      <c r="E1" s="15"/>
      <c r="F1" s="15"/>
      <c r="G1" s="15"/>
      <c r="H1" s="15"/>
    </row>
    <row r="2" customFormat="false" ht="18" hidden="false" customHeight="true" outlineLevel="0" collapsed="false">
      <c r="B2" s="47" t="s">
        <v>152</v>
      </c>
      <c r="C2" s="47"/>
      <c r="D2" s="47"/>
      <c r="E2" s="47"/>
      <c r="F2" s="47"/>
      <c r="G2" s="47"/>
      <c r="H2" s="47"/>
    </row>
    <row r="3" customFormat="false" ht="19.5" hidden="false" customHeight="true" outlineLevel="0" collapsed="false">
      <c r="B3" s="26"/>
      <c r="C3" s="17" t="s">
        <v>34</v>
      </c>
      <c r="D3" s="17" t="s">
        <v>35</v>
      </c>
      <c r="E3" s="17" t="s">
        <v>36</v>
      </c>
      <c r="F3" s="17" t="s">
        <v>37</v>
      </c>
      <c r="G3" s="17" t="s">
        <v>38</v>
      </c>
      <c r="H3" s="18" t="s">
        <v>85</v>
      </c>
    </row>
    <row r="4" customFormat="false" ht="19.5" hidden="false" customHeight="true" outlineLevel="0" collapsed="false">
      <c r="B4" s="19" t="s">
        <v>153</v>
      </c>
      <c r="C4" s="19"/>
      <c r="D4" s="19"/>
      <c r="E4" s="19"/>
      <c r="F4" s="19"/>
      <c r="G4" s="19"/>
      <c r="H4" s="19"/>
    </row>
    <row r="5" customFormat="false" ht="18" hidden="false" customHeight="true" outlineLevel="0" collapsed="false">
      <c r="B5" s="8" t="s">
        <v>154</v>
      </c>
      <c r="C5" s="28" t="n">
        <f aca="false">'P&amp;L'!C38</f>
        <v>487.08</v>
      </c>
      <c r="D5" s="28" t="n">
        <f aca="false">'P&amp;L'!D38</f>
        <v>633.42</v>
      </c>
      <c r="E5" s="28" t="n">
        <f aca="false">'P&amp;L'!E38</f>
        <v>730.625</v>
      </c>
      <c r="F5" s="28" t="n">
        <f aca="false">'P&amp;L'!F38</f>
        <v>833.2230975</v>
      </c>
      <c r="G5" s="28" t="n">
        <f aca="false">'P&amp;L'!G38</f>
        <v>995.91051189</v>
      </c>
      <c r="H5" s="21" t="s">
        <v>155</v>
      </c>
    </row>
    <row r="6" customFormat="false" ht="18" hidden="false" customHeight="true" outlineLevel="0" collapsed="false">
      <c r="B6" s="8" t="s">
        <v>156</v>
      </c>
      <c r="C6" s="28" t="n">
        <f aca="false">Assumptions!C17</f>
        <v>138</v>
      </c>
      <c r="D6" s="28" t="n">
        <f aca="false">Assumptions!D17</f>
        <v>154</v>
      </c>
      <c r="E6" s="28" t="n">
        <f aca="false">Assumptions!E17</f>
        <v>172</v>
      </c>
      <c r="F6" s="28" t="n">
        <f aca="false">Assumptions!F17</f>
        <v>188</v>
      </c>
      <c r="G6" s="28" t="n">
        <f aca="false">Assumptions!G17</f>
        <v>205</v>
      </c>
      <c r="H6" s="21" t="s">
        <v>157</v>
      </c>
    </row>
    <row r="7" customFormat="false" ht="15" hidden="false" customHeight="true" outlineLevel="0" collapsed="false">
      <c r="B7" s="8" t="s">
        <v>158</v>
      </c>
      <c r="C7" s="27" t="n">
        <v>252</v>
      </c>
      <c r="D7" s="27" t="n">
        <v>302</v>
      </c>
      <c r="E7" s="27" t="n">
        <v>347</v>
      </c>
      <c r="F7" s="32" t="n">
        <f aca="false">E7*1.05</f>
        <v>364.35</v>
      </c>
      <c r="G7" s="32" t="n">
        <f aca="false">F7*1.05</f>
        <v>382.5675</v>
      </c>
      <c r="H7" s="21" t="s">
        <v>159</v>
      </c>
    </row>
    <row r="8" customFormat="false" ht="15" hidden="false" customHeight="true" outlineLevel="0" collapsed="false">
      <c r="B8" s="8" t="s">
        <v>160</v>
      </c>
      <c r="C8" s="27" t="n">
        <v>95</v>
      </c>
      <c r="D8" s="27" t="n">
        <v>88</v>
      </c>
      <c r="E8" s="27" t="n">
        <v>72</v>
      </c>
      <c r="F8" s="32" t="n">
        <f aca="false">'P&amp;L'!F5*0.035</f>
        <v>74.4016</v>
      </c>
      <c r="G8" s="32" t="n">
        <f aca="false">'P&amp;L'!G5*0.035</f>
        <v>84.817824</v>
      </c>
      <c r="H8" s="21" t="s">
        <v>161</v>
      </c>
    </row>
    <row r="9" customFormat="false" ht="15" hidden="false" customHeight="true" outlineLevel="0" collapsed="false">
      <c r="B9" s="8" t="s">
        <v>162</v>
      </c>
      <c r="C9" s="27" t="n">
        <v>-42</v>
      </c>
      <c r="D9" s="27" t="n">
        <v>-51</v>
      </c>
      <c r="E9" s="27" t="n">
        <v>-38</v>
      </c>
      <c r="F9" s="28" t="n">
        <f aca="false">-('P&amp;L'!F7-'P&amp;L'!E7)*Assumptions!F19/365</f>
        <v>-41.2290410958905</v>
      </c>
      <c r="G9" s="28" t="n">
        <f aca="false">-('P&amp;L'!G7-'P&amp;L'!F7)*Assumptions!G19/365</f>
        <v>-54.4914904109589</v>
      </c>
      <c r="H9" s="21" t="s">
        <v>163</v>
      </c>
    </row>
    <row r="10" customFormat="false" ht="15" hidden="false" customHeight="true" outlineLevel="0" collapsed="false">
      <c r="B10" s="8" t="s">
        <v>164</v>
      </c>
      <c r="C10" s="27" t="n">
        <v>28</v>
      </c>
      <c r="D10" s="27" t="n">
        <v>22</v>
      </c>
      <c r="E10" s="27" t="n">
        <v>18</v>
      </c>
      <c r="F10" s="27" t="n">
        <v>20</v>
      </c>
      <c r="G10" s="27" t="n">
        <v>22</v>
      </c>
    </row>
    <row r="11" customFormat="false" ht="15" hidden="false" customHeight="true" outlineLevel="0" collapsed="false">
      <c r="B11" s="29" t="s">
        <v>165</v>
      </c>
      <c r="C11" s="30" t="n">
        <f aca="false">SUM(C5:C10)</f>
        <v>958.08</v>
      </c>
      <c r="D11" s="30" t="n">
        <f aca="false">SUM(D5:D10)</f>
        <v>1148.42</v>
      </c>
      <c r="E11" s="30" t="n">
        <f aca="false">SUM(E5:E10)</f>
        <v>1301.625</v>
      </c>
      <c r="F11" s="30" t="n">
        <f aca="false">SUM(F5:F10)</f>
        <v>1438.74565640411</v>
      </c>
      <c r="G11" s="30" t="n">
        <f aca="false">SUM(G5:G10)</f>
        <v>1635.80434547904</v>
      </c>
      <c r="H11" s="33"/>
    </row>
    <row r="12" customFormat="false" ht="7.5" hidden="false" customHeight="true" outlineLevel="0" collapsed="false"/>
    <row r="13" customFormat="false" ht="19.5" hidden="false" customHeight="true" outlineLevel="0" collapsed="false">
      <c r="B13" s="19" t="s">
        <v>166</v>
      </c>
      <c r="C13" s="19"/>
      <c r="D13" s="19"/>
      <c r="E13" s="19"/>
      <c r="F13" s="19"/>
      <c r="G13" s="19"/>
      <c r="H13" s="19"/>
    </row>
    <row r="14" customFormat="false" ht="15" hidden="false" customHeight="true" outlineLevel="0" collapsed="false">
      <c r="B14" s="8" t="s">
        <v>167</v>
      </c>
      <c r="C14" s="28" t="n">
        <f aca="false">-Assumptions!C18</f>
        <v>-82</v>
      </c>
      <c r="D14" s="28" t="n">
        <f aca="false">-Assumptions!D18</f>
        <v>-93</v>
      </c>
      <c r="E14" s="28" t="n">
        <f aca="false">-Assumptions!E18</f>
        <v>-108</v>
      </c>
      <c r="F14" s="28" t="n">
        <f aca="false">-Assumptions!F18</f>
        <v>-120</v>
      </c>
      <c r="G14" s="28" t="n">
        <f aca="false">-Assumptions!G18</f>
        <v>-133</v>
      </c>
      <c r="H14" s="21" t="s">
        <v>168</v>
      </c>
    </row>
    <row r="15" customFormat="false" ht="15" hidden="false" customHeight="true" outlineLevel="0" collapsed="false">
      <c r="B15" s="8" t="s">
        <v>169</v>
      </c>
      <c r="C15" s="27" t="n">
        <v>-310</v>
      </c>
      <c r="D15" s="27" t="n">
        <v>-285</v>
      </c>
      <c r="E15" s="27" t="n">
        <v>-210</v>
      </c>
      <c r="F15" s="27" t="n">
        <v>-200</v>
      </c>
      <c r="G15" s="27" t="n">
        <v>-200</v>
      </c>
      <c r="H15" s="21" t="s">
        <v>170</v>
      </c>
    </row>
    <row r="16" customFormat="false" ht="15" hidden="false" customHeight="true" outlineLevel="0" collapsed="false">
      <c r="B16" s="29" t="s">
        <v>171</v>
      </c>
      <c r="C16" s="30" t="n">
        <f aca="false">C14+C15</f>
        <v>-392</v>
      </c>
      <c r="D16" s="30" t="n">
        <f aca="false">D14+D15</f>
        <v>-378</v>
      </c>
      <c r="E16" s="30" t="n">
        <f aca="false">E14+E15</f>
        <v>-318</v>
      </c>
      <c r="F16" s="30" t="n">
        <f aca="false">F14+F15</f>
        <v>-320</v>
      </c>
      <c r="G16" s="30" t="n">
        <f aca="false">G14+G15</f>
        <v>-333</v>
      </c>
      <c r="H16" s="33"/>
    </row>
    <row r="17" customFormat="false" ht="7.5" hidden="false" customHeight="true" outlineLevel="0" collapsed="false"/>
    <row r="18" customFormat="false" ht="19.5" hidden="false" customHeight="true" outlineLevel="0" collapsed="false">
      <c r="B18" s="19" t="s">
        <v>172</v>
      </c>
      <c r="C18" s="19"/>
      <c r="D18" s="19"/>
      <c r="E18" s="19"/>
      <c r="F18" s="19"/>
      <c r="G18" s="19"/>
      <c r="H18" s="19"/>
    </row>
    <row r="19" customFormat="false" ht="15" hidden="false" customHeight="true" outlineLevel="0" collapsed="false">
      <c r="B19" s="29" t="s">
        <v>173</v>
      </c>
      <c r="C19" s="38" t="n">
        <f aca="false">C11+C14</f>
        <v>876.08</v>
      </c>
      <c r="D19" s="38" t="n">
        <f aca="false">D11+D14</f>
        <v>1055.42</v>
      </c>
      <c r="E19" s="38" t="n">
        <f aca="false">E11+E14</f>
        <v>1193.625</v>
      </c>
      <c r="F19" s="38" t="n">
        <f aca="false">F11+F14</f>
        <v>1318.74565640411</v>
      </c>
      <c r="G19" s="38" t="n">
        <f aca="false">G11+G14</f>
        <v>1502.80434547904</v>
      </c>
      <c r="H19" s="31" t="s">
        <v>174</v>
      </c>
    </row>
    <row r="20" customFormat="false" ht="15" hidden="false" customHeight="true" outlineLevel="0" collapsed="false">
      <c r="B20" s="34" t="s">
        <v>175</v>
      </c>
      <c r="C20" s="35" t="n">
        <f aca="false">IFERROR(C19/'P&amp;L'!C7,0)</f>
        <v>0.473300918422474</v>
      </c>
      <c r="D20" s="35" t="n">
        <f aca="false">IFERROR(D19/'P&amp;L'!D7,0)</f>
        <v>0.48862037037037</v>
      </c>
      <c r="E20" s="35" t="n">
        <f aca="false">IFERROR(E19/'P&amp;L'!E7,0)</f>
        <v>0.505987706655362</v>
      </c>
      <c r="F20" s="35" t="n">
        <f aca="false">IFERROR(F19/'P&amp;L'!F7,0)</f>
        <v>0.505303319553573</v>
      </c>
      <c r="G20" s="35" t="n">
        <f aca="false">IFERROR(G19/'P&amp;L'!G7,0)</f>
        <v>0.510932035689064</v>
      </c>
    </row>
    <row r="21" customFormat="false" ht="7.5" hidden="false" customHeight="true" outlineLevel="0" collapsed="false"/>
    <row r="22" customFormat="false" ht="19.5" hidden="false" customHeight="true" outlineLevel="0" collapsed="false">
      <c r="B22" s="19" t="s">
        <v>176</v>
      </c>
      <c r="C22" s="19"/>
      <c r="D22" s="19"/>
      <c r="E22" s="19"/>
      <c r="F22" s="19"/>
      <c r="G22" s="19"/>
      <c r="H22" s="19"/>
    </row>
    <row r="23" customFormat="false" ht="15" hidden="false" customHeight="true" outlineLevel="0" collapsed="false">
      <c r="B23" s="8" t="s">
        <v>177</v>
      </c>
      <c r="C23" s="27" t="n">
        <v>-200</v>
      </c>
      <c r="D23" s="27" t="n">
        <v>-350</v>
      </c>
      <c r="E23" s="27" t="n">
        <v>-500</v>
      </c>
      <c r="F23" s="27" t="n">
        <v>-400</v>
      </c>
      <c r="G23" s="27" t="n">
        <v>-400</v>
      </c>
      <c r="H23" s="21" t="s">
        <v>178</v>
      </c>
    </row>
    <row r="24" customFormat="false" ht="15" hidden="false" customHeight="true" outlineLevel="0" collapsed="false">
      <c r="B24" s="8" t="s">
        <v>179</v>
      </c>
      <c r="C24" s="27" t="n">
        <v>15</v>
      </c>
      <c r="D24" s="27" t="n">
        <v>18</v>
      </c>
      <c r="E24" s="27" t="n">
        <v>22</v>
      </c>
      <c r="F24" s="27" t="n">
        <v>20</v>
      </c>
      <c r="G24" s="27" t="n">
        <v>20</v>
      </c>
    </row>
    <row r="25" customFormat="false" ht="15" hidden="false" customHeight="true" outlineLevel="0" collapsed="false">
      <c r="B25" s="29" t="s">
        <v>180</v>
      </c>
      <c r="C25" s="30" t="n">
        <f aca="false">C23+C24</f>
        <v>-185</v>
      </c>
      <c r="D25" s="30" t="n">
        <f aca="false">D23+D24</f>
        <v>-332</v>
      </c>
      <c r="E25" s="30" t="n">
        <f aca="false">E23+E24</f>
        <v>-478</v>
      </c>
      <c r="F25" s="30" t="n">
        <f aca="false">F23+F24</f>
        <v>-380</v>
      </c>
      <c r="G25" s="30" t="n">
        <f aca="false">G23+G24</f>
        <v>-380</v>
      </c>
      <c r="H25" s="33"/>
    </row>
    <row r="26" customFormat="false" ht="7.5" hidden="false" customHeight="true" outlineLevel="0" collapsed="false"/>
    <row r="27" customFormat="false" ht="19.5" hidden="false" customHeight="true" outlineLevel="0" collapsed="false">
      <c r="B27" s="19" t="s">
        <v>181</v>
      </c>
      <c r="C27" s="19"/>
      <c r="D27" s="19"/>
      <c r="E27" s="19"/>
      <c r="F27" s="19"/>
      <c r="G27" s="19"/>
      <c r="H27" s="19"/>
    </row>
    <row r="28" customFormat="false" ht="15" hidden="false" customHeight="true" outlineLevel="0" collapsed="false">
      <c r="B28" s="8" t="s">
        <v>182</v>
      </c>
      <c r="C28" s="32" t="n">
        <f aca="false">C11+C16+C25</f>
        <v>381.08</v>
      </c>
      <c r="D28" s="32" t="n">
        <f aca="false">D11+D16+D25</f>
        <v>438.42</v>
      </c>
      <c r="E28" s="32" t="n">
        <f aca="false">E11+E16+E25</f>
        <v>505.625</v>
      </c>
      <c r="F28" s="32" t="n">
        <f aca="false">F11+F16+F25</f>
        <v>738.74565640411</v>
      </c>
      <c r="G28" s="32" t="n">
        <f aca="false">G11+G16+G25</f>
        <v>922.804345479041</v>
      </c>
    </row>
    <row r="29" customFormat="false" ht="15" hidden="false" customHeight="true" outlineLevel="0" collapsed="false">
      <c r="B29" s="8" t="s">
        <v>183</v>
      </c>
      <c r="C29" s="27" t="n">
        <v>1850</v>
      </c>
      <c r="D29" s="27" t="n">
        <v>2102</v>
      </c>
      <c r="E29" s="27" t="n">
        <v>2320</v>
      </c>
      <c r="F29" s="32" t="n">
        <f aca="false">E30</f>
        <v>2825.625</v>
      </c>
      <c r="G29" s="32" t="n">
        <f aca="false">F30</f>
        <v>3564.37065640411</v>
      </c>
    </row>
    <row r="30" customFormat="false" ht="15" hidden="false" customHeight="true" outlineLevel="0" collapsed="false">
      <c r="B30" s="29" t="s">
        <v>184</v>
      </c>
      <c r="C30" s="30" t="n">
        <f aca="false">C28+C29</f>
        <v>2231.08</v>
      </c>
      <c r="D30" s="30" t="n">
        <f aca="false">D28+D29</f>
        <v>2540.42</v>
      </c>
      <c r="E30" s="30" t="n">
        <f aca="false">E28+E29</f>
        <v>2825.625</v>
      </c>
      <c r="F30" s="30" t="n">
        <f aca="false">F28+F29</f>
        <v>3564.37065640411</v>
      </c>
      <c r="G30" s="30" t="n">
        <f aca="false">G28+G29</f>
        <v>4487.17500188315</v>
      </c>
      <c r="H30" s="33"/>
    </row>
    <row r="31" customFormat="false" ht="7.5" hidden="false" customHeight="true" outlineLevel="0" collapsed="false"/>
    <row r="32" customFormat="false" ht="19.5" hidden="false" customHeight="true" outlineLevel="0" collapsed="false">
      <c r="B32" s="19" t="s">
        <v>185</v>
      </c>
      <c r="C32" s="19"/>
      <c r="D32" s="19"/>
      <c r="E32" s="19"/>
      <c r="F32" s="19"/>
      <c r="G32" s="19"/>
      <c r="H32" s="19"/>
    </row>
    <row r="33" customFormat="false" ht="31.5" hidden="false" customHeight="true" outlineLevel="0" collapsed="false">
      <c r="B33" s="48" t="s">
        <v>186</v>
      </c>
      <c r="C33" s="48"/>
      <c r="D33" s="48"/>
      <c r="E33" s="48"/>
      <c r="F33" s="48"/>
      <c r="G33" s="48"/>
      <c r="H33" s="48"/>
    </row>
    <row r="34" customFormat="false" ht="15" hidden="false" customHeight="true" outlineLevel="0" collapsed="false">
      <c r="B34" s="8" t="s">
        <v>187</v>
      </c>
      <c r="C34" s="28" t="n">
        <f aca="false">'P&amp;L'!C26*(1-Assumptions!C16)</f>
        <v>469.04</v>
      </c>
      <c r="D34" s="28" t="n">
        <f aca="false">'P&amp;L'!D26*(1-Assumptions!D16)</f>
        <v>596.16</v>
      </c>
      <c r="E34" s="28" t="n">
        <f aca="false">'P&amp;L'!E26*(1-Assumptions!E16)</f>
        <v>630.425</v>
      </c>
      <c r="F34" s="28" t="n">
        <f aca="false">'P&amp;L'!F26*(1-Assumptions!F16)</f>
        <v>723.6630975</v>
      </c>
      <c r="G34" s="28" t="n">
        <f aca="false">'P&amp;L'!G26*(1-Assumptions!G16)</f>
        <v>880.87251189</v>
      </c>
    </row>
    <row r="35" customFormat="false" ht="15" hidden="false" customHeight="true" outlineLevel="0" collapsed="false">
      <c r="B35" s="8" t="s">
        <v>156</v>
      </c>
      <c r="C35" s="28" t="n">
        <f aca="false">Assumptions!C17</f>
        <v>138</v>
      </c>
      <c r="D35" s="28" t="n">
        <f aca="false">Assumptions!D17</f>
        <v>154</v>
      </c>
      <c r="E35" s="28" t="n">
        <f aca="false">Assumptions!E17</f>
        <v>172</v>
      </c>
      <c r="F35" s="28" t="n">
        <f aca="false">Assumptions!F17</f>
        <v>188</v>
      </c>
      <c r="G35" s="28" t="n">
        <f aca="false">Assumptions!G17</f>
        <v>205</v>
      </c>
    </row>
    <row r="36" customFormat="false" ht="15" hidden="false" customHeight="true" outlineLevel="0" collapsed="false">
      <c r="B36" s="8" t="s">
        <v>188</v>
      </c>
      <c r="C36" s="28" t="n">
        <f aca="false">-Assumptions!C18</f>
        <v>-82</v>
      </c>
      <c r="D36" s="28" t="n">
        <f aca="false">-Assumptions!D18</f>
        <v>-93</v>
      </c>
      <c r="E36" s="28" t="n">
        <f aca="false">-Assumptions!E18</f>
        <v>-108</v>
      </c>
      <c r="F36" s="28" t="n">
        <f aca="false">-Assumptions!F18</f>
        <v>-120</v>
      </c>
      <c r="G36" s="28" t="n">
        <f aca="false">-Assumptions!G18</f>
        <v>-133</v>
      </c>
    </row>
    <row r="37" customFormat="false" ht="15" hidden="false" customHeight="true" outlineLevel="0" collapsed="false">
      <c r="B37" s="8" t="s">
        <v>189</v>
      </c>
      <c r="C37" s="27" t="n">
        <v>-14</v>
      </c>
      <c r="D37" s="27" t="n">
        <v>-29</v>
      </c>
      <c r="E37" s="27" t="n">
        <v>-20</v>
      </c>
      <c r="F37" s="27" t="n">
        <v>-30</v>
      </c>
      <c r="G37" s="27" t="n">
        <v>-33</v>
      </c>
      <c r="H37" s="21" t="s">
        <v>190</v>
      </c>
    </row>
    <row r="38" customFormat="false" ht="15" hidden="false" customHeight="true" outlineLevel="0" collapsed="false">
      <c r="B38" s="29" t="s">
        <v>191</v>
      </c>
      <c r="C38" s="30" t="n">
        <f aca="false">C34+C35+C36-C37</f>
        <v>539.04</v>
      </c>
      <c r="D38" s="30" t="n">
        <f aca="false">D34+D35+D36-D37</f>
        <v>686.16</v>
      </c>
      <c r="E38" s="43" t="e">
        <f aca="false">E34+E35+E36-E38</f>
        <v>#VALUE!</v>
      </c>
      <c r="F38" s="30" t="n">
        <f aca="false">F34+F35+F36-F37</f>
        <v>821.6630975</v>
      </c>
      <c r="G38" s="30" t="n">
        <f aca="false">G34+G35+G36-G37</f>
        <v>985.87251189</v>
      </c>
      <c r="H38" s="31" t="s">
        <v>192</v>
      </c>
    </row>
  </sheetData>
  <mergeCells count="9">
    <mergeCell ref="B1:H1"/>
    <mergeCell ref="B2:H2"/>
    <mergeCell ref="B4:H4"/>
    <mergeCell ref="B13:H13"/>
    <mergeCell ref="B18:H18"/>
    <mergeCell ref="B22:H22"/>
    <mergeCell ref="B27:H27"/>
    <mergeCell ref="B32:H32"/>
    <mergeCell ref="B33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1:O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4"/>
    <col collapsed="false" customWidth="true" hidden="false" outlineLevel="0" max="3" min="3" style="1" width="9"/>
    <col collapsed="false" customWidth="true" hidden="false" outlineLevel="0" max="4" min="4" style="1" width="12"/>
    <col collapsed="false" customWidth="true" hidden="false" outlineLevel="0" max="5" min="5" style="1" width="11"/>
    <col collapsed="false" customWidth="true" hidden="false" outlineLevel="0" max="6" min="6" style="1" width="13"/>
    <col collapsed="false" customWidth="true" hidden="false" outlineLevel="0" max="8" min="7" style="1" width="12"/>
    <col collapsed="false" customWidth="true" hidden="false" outlineLevel="0" max="11" min="9" style="1" width="14"/>
    <col collapsed="false" customWidth="true" hidden="false" outlineLevel="0" max="14" min="12" style="1" width="12"/>
    <col collapsed="false" customWidth="true" hidden="false" outlineLevel="0" max="15" min="15" style="1" width="35"/>
  </cols>
  <sheetData>
    <row r="1" customFormat="false" ht="25.5" hidden="false" customHeight="true" outlineLevel="0" collapsed="false">
      <c r="B1" s="15" t="s">
        <v>193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customFormat="false" ht="15" hidden="false" customHeight="true" outlineLevel="0" collapsed="false">
      <c r="B2" s="16" t="s">
        <v>194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customFormat="false" ht="31.5" hidden="false" customHeight="true" outlineLevel="0" collapsed="false">
      <c r="B4" s="49" t="s">
        <v>2</v>
      </c>
      <c r="C4" s="49" t="s">
        <v>195</v>
      </c>
      <c r="D4" s="49" t="s">
        <v>196</v>
      </c>
      <c r="E4" s="49" t="s">
        <v>197</v>
      </c>
      <c r="F4" s="49" t="s">
        <v>198</v>
      </c>
      <c r="G4" s="49" t="s">
        <v>199</v>
      </c>
      <c r="H4" s="49" t="s">
        <v>200</v>
      </c>
      <c r="I4" s="49" t="s">
        <v>201</v>
      </c>
      <c r="J4" s="49" t="s">
        <v>202</v>
      </c>
      <c r="K4" s="49" t="s">
        <v>203</v>
      </c>
      <c r="L4" s="49" t="s">
        <v>204</v>
      </c>
      <c r="M4" s="49" t="s">
        <v>205</v>
      </c>
      <c r="N4" s="49" t="s">
        <v>206</v>
      </c>
      <c r="O4" s="49" t="s">
        <v>85</v>
      </c>
    </row>
    <row r="5" customFormat="false" ht="19.5" hidden="false" customHeight="true" outlineLevel="0" collapsed="false">
      <c r="B5" s="19" t="s">
        <v>207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customFormat="false" ht="21.75" hidden="false" customHeight="true" outlineLevel="0" collapsed="false">
      <c r="B6" s="50" t="s">
        <v>208</v>
      </c>
      <c r="C6" s="51" t="s">
        <v>209</v>
      </c>
      <c r="D6" s="52" t="n">
        <v>185</v>
      </c>
      <c r="E6" s="53" t="n">
        <v>154.2</v>
      </c>
      <c r="F6" s="54" t="n">
        <f aca="false">D6*E6</f>
        <v>28527</v>
      </c>
      <c r="G6" s="55" t="n">
        <v>780</v>
      </c>
      <c r="H6" s="55" t="n">
        <v>2500</v>
      </c>
      <c r="I6" s="54" t="n">
        <f aca="false">F6+G6-H6</f>
        <v>26807</v>
      </c>
      <c r="J6" s="55" t="n">
        <v>2359</v>
      </c>
      <c r="K6" s="55" t="n">
        <v>927</v>
      </c>
      <c r="L6" s="56" t="n">
        <f aca="false">IFERROR(K6/J6,0)</f>
        <v>0.392963119966087</v>
      </c>
      <c r="M6" s="57" t="n">
        <f aca="false">IFERROR(I6/J6,0)</f>
        <v>11.3637134378974</v>
      </c>
      <c r="N6" s="57" t="n">
        <f aca="false">IFERROR(I6/K6,0)</f>
        <v>28.9180151024811</v>
      </c>
      <c r="O6" s="58" t="s">
        <v>210</v>
      </c>
    </row>
    <row r="7" customFormat="false" ht="7.5" hidden="false" customHeight="true" outlineLevel="0" collapsed="false"/>
    <row r="8" customFormat="false" ht="19.5" hidden="false" customHeight="true" outlineLevel="0" collapsed="false">
      <c r="B8" s="19" t="s">
        <v>211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customFormat="false" ht="19.5" hidden="false" customHeight="true" outlineLevel="0" collapsed="false">
      <c r="B9" s="6" t="s">
        <v>212</v>
      </c>
      <c r="C9" s="59" t="s">
        <v>213</v>
      </c>
      <c r="D9" s="60" t="n">
        <v>274</v>
      </c>
      <c r="E9" s="61" t="n">
        <v>970</v>
      </c>
      <c r="F9" s="62" t="n">
        <f aca="false">D9*E9</f>
        <v>265780</v>
      </c>
      <c r="G9" s="63" t="n">
        <v>10500</v>
      </c>
      <c r="H9" s="63" t="n">
        <v>12000</v>
      </c>
      <c r="I9" s="62" t="n">
        <f aca="false">F9+G9-H9</f>
        <v>264280</v>
      </c>
      <c r="J9" s="63" t="n">
        <v>34857</v>
      </c>
      <c r="K9" s="63" t="n">
        <v>9300</v>
      </c>
      <c r="L9" s="64" t="n">
        <f aca="false">IFERROR(K9/J9,0)</f>
        <v>0.266804372149066</v>
      </c>
      <c r="M9" s="65" t="n">
        <f aca="false">IFERROR(I9/J9,0)</f>
        <v>7.58183435178013</v>
      </c>
      <c r="N9" s="65" t="n">
        <f aca="false">IFERROR(I9/K9,0)</f>
        <v>28.4172043010753</v>
      </c>
      <c r="O9" s="66" t="s">
        <v>214</v>
      </c>
    </row>
    <row r="10" customFormat="false" ht="19.5" hidden="false" customHeight="true" outlineLevel="0" collapsed="false">
      <c r="B10" s="67" t="s">
        <v>215</v>
      </c>
      <c r="C10" s="68" t="s">
        <v>216</v>
      </c>
      <c r="D10" s="69" t="n">
        <v>720</v>
      </c>
      <c r="E10" s="70" t="n">
        <v>204.1</v>
      </c>
      <c r="F10" s="71" t="n">
        <f aca="false">D10*E10</f>
        <v>146952</v>
      </c>
      <c r="G10" s="72" t="n">
        <v>1500</v>
      </c>
      <c r="H10" s="72" t="n">
        <v>4100</v>
      </c>
      <c r="I10" s="71" t="n">
        <f aca="false">F10+G10-H10</f>
        <v>144352</v>
      </c>
      <c r="J10" s="72" t="n">
        <v>8971</v>
      </c>
      <c r="K10" s="72" t="n">
        <v>2800</v>
      </c>
      <c r="L10" s="73" t="n">
        <f aca="false">IFERROR(K10/J10,0)</f>
        <v>0.312116820867239</v>
      </c>
      <c r="M10" s="74" t="n">
        <f aca="false">IFERROR(I10/J10,0)</f>
        <v>16.0909597592242</v>
      </c>
      <c r="N10" s="74" t="n">
        <f aca="false">IFERROR(I10/K10,0)</f>
        <v>51.5542857142857</v>
      </c>
      <c r="O10" s="75" t="s">
        <v>217</v>
      </c>
    </row>
    <row r="11" customFormat="false" ht="19.5" hidden="false" customHeight="true" outlineLevel="0" collapsed="false">
      <c r="B11" s="6" t="s">
        <v>218</v>
      </c>
      <c r="C11" s="59" t="s">
        <v>219</v>
      </c>
      <c r="D11" s="60" t="n">
        <v>295</v>
      </c>
      <c r="E11" s="61" t="n">
        <v>212</v>
      </c>
      <c r="F11" s="62" t="n">
        <f aca="false">D11*E11</f>
        <v>62540</v>
      </c>
      <c r="G11" s="63" t="n">
        <v>3000</v>
      </c>
      <c r="H11" s="63" t="n">
        <v>4200</v>
      </c>
      <c r="I11" s="62" t="n">
        <f aca="false">F11+G11-H11</f>
        <v>61340</v>
      </c>
      <c r="J11" s="63" t="n">
        <v>7259</v>
      </c>
      <c r="K11" s="63" t="n">
        <v>1870</v>
      </c>
      <c r="L11" s="64" t="n">
        <f aca="false">IFERROR(K11/J11,0)</f>
        <v>0.257611241217799</v>
      </c>
      <c r="M11" s="65" t="n">
        <f aca="false">IFERROR(I11/J11,0)</f>
        <v>8.45019975203196</v>
      </c>
      <c r="N11" s="65" t="n">
        <f aca="false">IFERROR(I11/K11,0)</f>
        <v>32.8021390374332</v>
      </c>
      <c r="O11" s="66" t="s">
        <v>220</v>
      </c>
    </row>
    <row r="12" customFormat="false" ht="19.5" hidden="false" customHeight="true" outlineLevel="0" collapsed="false">
      <c r="B12" s="67" t="s">
        <v>221</v>
      </c>
      <c r="C12" s="68" t="s">
        <v>222</v>
      </c>
      <c r="D12" s="69" t="n">
        <v>420</v>
      </c>
      <c r="E12" s="70" t="n">
        <v>42.4</v>
      </c>
      <c r="F12" s="71" t="n">
        <f aca="false">D12*E12</f>
        <v>17808</v>
      </c>
      <c r="G12" s="72" t="n">
        <v>1500</v>
      </c>
      <c r="H12" s="72" t="n">
        <v>480</v>
      </c>
      <c r="I12" s="71" t="n">
        <f aca="false">F12+G12-H12</f>
        <v>18828</v>
      </c>
      <c r="J12" s="72" t="n">
        <v>1987</v>
      </c>
      <c r="K12" s="72" t="n">
        <v>530</v>
      </c>
      <c r="L12" s="73" t="n">
        <f aca="false">IFERROR(K12/J12,0)</f>
        <v>0.266733769501762</v>
      </c>
      <c r="M12" s="74" t="n">
        <f aca="false">IFERROR(I12/J12,0)</f>
        <v>9.47559134373427</v>
      </c>
      <c r="N12" s="74" t="n">
        <f aca="false">IFERROR(I12/K12,0)</f>
        <v>35.5245283018868</v>
      </c>
      <c r="O12" s="75" t="s">
        <v>223</v>
      </c>
    </row>
    <row r="13" customFormat="false" ht="19.5" hidden="false" customHeight="true" outlineLevel="0" collapsed="false">
      <c r="B13" s="6" t="s">
        <v>224</v>
      </c>
      <c r="C13" s="59" t="s">
        <v>225</v>
      </c>
      <c r="D13" s="60" t="n">
        <v>225</v>
      </c>
      <c r="E13" s="61" t="n">
        <v>184</v>
      </c>
      <c r="F13" s="62" t="n">
        <f aca="false">D13*E13</f>
        <v>41400</v>
      </c>
      <c r="G13" s="63" t="n">
        <v>12800</v>
      </c>
      <c r="H13" s="63" t="n">
        <v>2500</v>
      </c>
      <c r="I13" s="62" t="n">
        <f aca="false">F13+G13-H13</f>
        <v>51700</v>
      </c>
      <c r="J13" s="63" t="n">
        <v>14980</v>
      </c>
      <c r="K13" s="63" t="n">
        <v>3600</v>
      </c>
      <c r="L13" s="64" t="n">
        <f aca="false">IFERROR(K13/J13,0)</f>
        <v>0.240320427236315</v>
      </c>
      <c r="M13" s="65" t="n">
        <f aca="false">IFERROR(I13/J13,0)</f>
        <v>3.45126835781041</v>
      </c>
      <c r="N13" s="65" t="n">
        <f aca="false">IFERROR(I13/K13,0)</f>
        <v>14.3611111111111</v>
      </c>
      <c r="O13" s="66" t="s">
        <v>226</v>
      </c>
    </row>
    <row r="14" customFormat="false" ht="19.5" hidden="false" customHeight="true" outlineLevel="0" collapsed="false">
      <c r="B14" s="67" t="s">
        <v>227</v>
      </c>
      <c r="C14" s="68" t="s">
        <v>228</v>
      </c>
      <c r="D14" s="69" t="n">
        <v>118</v>
      </c>
      <c r="E14" s="70" t="n">
        <v>84.8</v>
      </c>
      <c r="F14" s="71" t="n">
        <f aca="false">D14*E14</f>
        <v>10006.4</v>
      </c>
      <c r="G14" s="72" t="n">
        <v>700</v>
      </c>
      <c r="H14" s="72" t="n">
        <v>1200</v>
      </c>
      <c r="I14" s="71" t="n">
        <f aca="false">F14+G14-H14</f>
        <v>9506.4</v>
      </c>
      <c r="J14" s="72" t="n">
        <v>929</v>
      </c>
      <c r="K14" s="72" t="n">
        <v>145</v>
      </c>
      <c r="L14" s="73" t="n">
        <f aca="false">IFERROR(K14/J14,0)</f>
        <v>0.156081808396125</v>
      </c>
      <c r="M14" s="74" t="n">
        <f aca="false">IFERROR(I14/J14,0)</f>
        <v>10.2329386437029</v>
      </c>
      <c r="N14" s="74" t="n">
        <f aca="false">IFERROR(I14/K14,0)</f>
        <v>65.5613793103448</v>
      </c>
      <c r="O14" s="75" t="s">
        <v>229</v>
      </c>
    </row>
    <row r="15" customFormat="false" ht="7.5" hidden="false" customHeight="true" outlineLevel="0" collapsed="false"/>
    <row r="16" customFormat="false" ht="19.5" hidden="false" customHeight="true" outlineLevel="0" collapsed="false">
      <c r="B16" s="19" t="s">
        <v>230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customFormat="false" ht="18" hidden="false" customHeight="true" outlineLevel="0" collapsed="false">
      <c r="B17" s="76" t="s">
        <v>231</v>
      </c>
      <c r="L17" s="77" t="n">
        <f aca="false">AVERAGE(L9:L14)</f>
        <v>0.249944739894718</v>
      </c>
      <c r="M17" s="78" t="n">
        <f aca="false">AVERAGE(M9:M14)</f>
        <v>9.21379870138064</v>
      </c>
      <c r="N17" s="78" t="n">
        <f aca="false">AVERAGE(N9:N14)</f>
        <v>38.0367746293561</v>
      </c>
    </row>
    <row r="18" customFormat="false" ht="18" hidden="false" customHeight="true" outlineLevel="0" collapsed="false">
      <c r="B18" s="29" t="s">
        <v>232</v>
      </c>
      <c r="L18" s="45" t="n">
        <f aca="false">MEDIAN(L9:L14)</f>
        <v>0.26217250535978</v>
      </c>
      <c r="M18" s="79" t="n">
        <f aca="false">MEDIAN(M9:M14)</f>
        <v>8.96289554788312</v>
      </c>
      <c r="N18" s="79" t="n">
        <f aca="false">MEDIAN(N9:N14)</f>
        <v>34.16333366966</v>
      </c>
    </row>
    <row r="19" customFormat="false" ht="18" hidden="false" customHeight="true" outlineLevel="0" collapsed="false">
      <c r="B19" s="76" t="s">
        <v>233</v>
      </c>
      <c r="L19" s="77" t="n">
        <f aca="false">PERCENTILE(L9:L14,0.25)</f>
        <v>0.244643130731686</v>
      </c>
      <c r="M19" s="78" t="n">
        <f aca="false">PERCENTILE(M9:M14,0.25)</f>
        <v>7.79892570184309</v>
      </c>
      <c r="N19" s="78" t="n">
        <f aca="false">PERCENTILE(N9:N14,0.25)</f>
        <v>29.5134379851647</v>
      </c>
    </row>
    <row r="20" customFormat="false" ht="18" hidden="false" customHeight="true" outlineLevel="0" collapsed="false">
      <c r="B20" s="76" t="s">
        <v>234</v>
      </c>
      <c r="L20" s="77" t="n">
        <f aca="false">PERCENTILE(L9:L14,0.75)</f>
        <v>0.26678672148724</v>
      </c>
      <c r="M20" s="78" t="n">
        <f aca="false">PERCENTILE(M9:M14,0.75)</f>
        <v>10.0436018187107</v>
      </c>
      <c r="N20" s="78" t="n">
        <f aca="false">PERCENTILE(N9:N14,0.75)</f>
        <v>47.546846361186</v>
      </c>
    </row>
    <row r="21" customFormat="false" ht="7.5" hidden="false" customHeight="true" outlineLevel="0" collapsed="false"/>
    <row r="22" customFormat="false" ht="19.5" hidden="false" customHeight="true" outlineLevel="0" collapsed="false">
      <c r="B22" s="19" t="s">
        <v>235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customFormat="false" ht="30" hidden="false" customHeight="true" outlineLevel="0" collapsed="false">
      <c r="I23" s="80" t="s">
        <v>236</v>
      </c>
      <c r="J23" s="80" t="s">
        <v>237</v>
      </c>
      <c r="K23" s="80" t="s">
        <v>238</v>
      </c>
    </row>
    <row r="24" customFormat="false" ht="19.5" hidden="false" customHeight="true" outlineLevel="0" collapsed="false">
      <c r="B24" s="76" t="s">
        <v>239</v>
      </c>
      <c r="I24" s="81" t="n">
        <f aca="false">N19*K6</f>
        <v>27358.9570122477</v>
      </c>
      <c r="J24" s="81" t="n">
        <f aca="false">I24+H6-G6</f>
        <v>29078.9570122477</v>
      </c>
      <c r="K24" s="82" t="n">
        <f aca="false">IFERROR(J24/E6,0)</f>
        <v>188.579487757767</v>
      </c>
      <c r="L24" s="77" t="n">
        <f aca="false">IFERROR(K24/D6-1,0)</f>
        <v>0.019348582474418</v>
      </c>
    </row>
    <row r="25" customFormat="false" ht="19.5" hidden="false" customHeight="true" outlineLevel="0" collapsed="false">
      <c r="B25" s="29" t="s">
        <v>240</v>
      </c>
      <c r="I25" s="30" t="n">
        <f aca="false">N18*K6</f>
        <v>31669.4103117748</v>
      </c>
      <c r="J25" s="30" t="n">
        <f aca="false">I25+H6-G6</f>
        <v>33389.4103117748</v>
      </c>
      <c r="K25" s="83" t="n">
        <f aca="false">IFERROR(J25/E6,0)</f>
        <v>216.53314080269</v>
      </c>
      <c r="L25" s="84" t="n">
        <f aca="false">IFERROR(K25/D6-1,0)</f>
        <v>0.170449409744271</v>
      </c>
    </row>
    <row r="26" customFormat="false" ht="19.5" hidden="false" customHeight="true" outlineLevel="0" collapsed="false">
      <c r="B26" s="76" t="s">
        <v>241</v>
      </c>
      <c r="I26" s="81" t="n">
        <f aca="false">N20*K6</f>
        <v>44075.9265768194</v>
      </c>
      <c r="J26" s="81" t="n">
        <f aca="false">I26+H6-G6</f>
        <v>45795.9265768194</v>
      </c>
      <c r="K26" s="82" t="n">
        <f aca="false">IFERROR(J26/E6,0)</f>
        <v>296.990444726455</v>
      </c>
      <c r="L26" s="77" t="n">
        <f aca="false">IFERROR(K26/D6-1,0)</f>
        <v>0.605353755278137</v>
      </c>
    </row>
  </sheetData>
  <mergeCells count="6">
    <mergeCell ref="B1:O1"/>
    <mergeCell ref="B2:O2"/>
    <mergeCell ref="B5:O5"/>
    <mergeCell ref="B8:O8"/>
    <mergeCell ref="B16:O16"/>
    <mergeCell ref="B22:O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J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6"/>
    <col collapsed="false" customWidth="true" hidden="false" outlineLevel="0" max="3" min="3" style="1" width="7"/>
    <col collapsed="false" customWidth="true" hidden="false" outlineLevel="0" max="9" min="4" style="1" width="13"/>
    <col collapsed="false" customWidth="true" hidden="false" outlineLevel="0" max="10" min="10" style="1" width="38"/>
  </cols>
  <sheetData>
    <row r="1" customFormat="false" ht="25.5" hidden="false" customHeight="true" outlineLevel="0" collapsed="false">
      <c r="B1" s="15" t="s">
        <v>242</v>
      </c>
      <c r="C1" s="15"/>
      <c r="D1" s="15"/>
      <c r="E1" s="15"/>
      <c r="F1" s="15"/>
      <c r="G1" s="15"/>
      <c r="H1" s="15"/>
      <c r="I1" s="15"/>
      <c r="J1" s="15"/>
    </row>
    <row r="2" customFormat="false" ht="18" hidden="false" customHeight="true" outlineLevel="0" collapsed="false">
      <c r="B2" s="47" t="s">
        <v>243</v>
      </c>
      <c r="C2" s="47"/>
      <c r="D2" s="47"/>
      <c r="E2" s="47"/>
      <c r="F2" s="47"/>
      <c r="G2" s="47"/>
      <c r="H2" s="47"/>
      <c r="I2" s="47"/>
      <c r="J2" s="47"/>
    </row>
    <row r="4" customFormat="false" ht="19.5" hidden="false" customHeight="true" outlineLevel="0" collapsed="false">
      <c r="B4" s="19" t="s">
        <v>244</v>
      </c>
      <c r="C4" s="19"/>
      <c r="D4" s="19"/>
      <c r="E4" s="19"/>
      <c r="F4" s="19"/>
      <c r="G4" s="19"/>
      <c r="H4" s="19"/>
      <c r="I4" s="19"/>
      <c r="J4" s="19"/>
    </row>
    <row r="5" customFormat="false" ht="18" hidden="false" customHeight="true" outlineLevel="0" collapsed="false">
      <c r="B5" s="8" t="s">
        <v>245</v>
      </c>
      <c r="D5" s="85" t="n">
        <f aca="false">Assumptions!E29</f>
        <v>0.045</v>
      </c>
      <c r="J5" s="21" t="s">
        <v>246</v>
      </c>
    </row>
    <row r="6" customFormat="false" ht="18" hidden="false" customHeight="true" outlineLevel="0" collapsed="false">
      <c r="B6" s="8" t="s">
        <v>247</v>
      </c>
      <c r="D6" s="85" t="n">
        <f aca="false">Assumptions!E30</f>
        <v>0.055</v>
      </c>
      <c r="J6" s="21" t="s">
        <v>248</v>
      </c>
    </row>
    <row r="7" customFormat="false" ht="18" hidden="false" customHeight="true" outlineLevel="0" collapsed="false">
      <c r="B7" s="8" t="s">
        <v>249</v>
      </c>
      <c r="D7" s="86" t="n">
        <f aca="false">Assumptions!E28</f>
        <v>1.05</v>
      </c>
      <c r="J7" s="21" t="s">
        <v>250</v>
      </c>
    </row>
    <row r="8" customFormat="false" ht="18" hidden="false" customHeight="true" outlineLevel="0" collapsed="false">
      <c r="B8" s="8" t="s">
        <v>251</v>
      </c>
      <c r="D8" s="85" t="n">
        <f aca="false">D5+D7*D6</f>
        <v>0.10275</v>
      </c>
      <c r="J8" s="21" t="s">
        <v>252</v>
      </c>
    </row>
    <row r="9" customFormat="false" ht="7.5" hidden="false" customHeight="true" outlineLevel="0" collapsed="false"/>
    <row r="10" customFormat="false" ht="18" hidden="false" customHeight="true" outlineLevel="0" collapsed="false">
      <c r="B10" s="8" t="s">
        <v>253</v>
      </c>
      <c r="D10" s="85" t="n">
        <f aca="false">Assumptions!E31</f>
        <v>0.04</v>
      </c>
      <c r="J10" s="21" t="s">
        <v>254</v>
      </c>
    </row>
    <row r="11" customFormat="false" ht="18" hidden="false" customHeight="true" outlineLevel="0" collapsed="false">
      <c r="B11" s="8" t="s">
        <v>255</v>
      </c>
      <c r="D11" s="85" t="n">
        <f aca="false">Assumptions!E16</f>
        <v>0.165</v>
      </c>
      <c r="J11" s="21" t="s">
        <v>256</v>
      </c>
    </row>
    <row r="12" customFormat="false" ht="18" hidden="false" customHeight="true" outlineLevel="0" collapsed="false">
      <c r="B12" s="8" t="s">
        <v>257</v>
      </c>
      <c r="D12" s="85" t="n">
        <f aca="false">D10*(1-D11)</f>
        <v>0.0334</v>
      </c>
      <c r="J12" s="21" t="s">
        <v>258</v>
      </c>
    </row>
    <row r="13" customFormat="false" ht="7.5" hidden="false" customHeight="true" outlineLevel="0" collapsed="false"/>
    <row r="14" customFormat="false" ht="18" hidden="false" customHeight="true" outlineLevel="0" collapsed="false">
      <c r="B14" s="8" t="s">
        <v>259</v>
      </c>
      <c r="D14" s="28" t="n">
        <f aca="false">Assumptions!E22*Assumptions!E23</f>
        <v>28527</v>
      </c>
      <c r="J14" s="21" t="s">
        <v>260</v>
      </c>
    </row>
    <row r="15" customFormat="false" ht="18" hidden="false" customHeight="true" outlineLevel="0" collapsed="false">
      <c r="B15" s="8" t="s">
        <v>261</v>
      </c>
      <c r="D15" s="28" t="n">
        <f aca="false">Assumptions!E24</f>
        <v>780</v>
      </c>
      <c r="J15" s="21" t="s">
        <v>262</v>
      </c>
    </row>
    <row r="16" customFormat="false" ht="18" hidden="false" customHeight="true" outlineLevel="0" collapsed="false">
      <c r="B16" s="8" t="s">
        <v>263</v>
      </c>
      <c r="D16" s="28" t="n">
        <f aca="false">D14+D15</f>
        <v>29307</v>
      </c>
      <c r="J16" s="21" t="s">
        <v>264</v>
      </c>
    </row>
    <row r="17" customFormat="false" ht="18" hidden="false" customHeight="true" outlineLevel="0" collapsed="false">
      <c r="B17" s="8" t="s">
        <v>265</v>
      </c>
      <c r="D17" s="85" t="n">
        <f aca="false">IFERROR(D14/D16,0)</f>
        <v>0.973385198075545</v>
      </c>
      <c r="J17" s="21" t="s">
        <v>266</v>
      </c>
    </row>
    <row r="18" customFormat="false" ht="18" hidden="false" customHeight="true" outlineLevel="0" collapsed="false">
      <c r="B18" s="8" t="s">
        <v>267</v>
      </c>
      <c r="D18" s="85" t="n">
        <f aca="false">IFERROR(D15/D16,0)</f>
        <v>0.0266148019244549</v>
      </c>
      <c r="J18" s="21" t="s">
        <v>268</v>
      </c>
    </row>
    <row r="19" customFormat="false" ht="7.5" hidden="false" customHeight="true" outlineLevel="0" collapsed="false"/>
    <row r="20" customFormat="false" ht="21.75" hidden="false" customHeight="true" outlineLevel="0" collapsed="false">
      <c r="B20" s="29" t="s">
        <v>269</v>
      </c>
      <c r="C20" s="33"/>
      <c r="D20" s="87" t="n">
        <f aca="false">D17*D8+D18*D12</f>
        <v>0.100904263486539</v>
      </c>
      <c r="E20" s="33"/>
      <c r="J20" s="44" t="s">
        <v>270</v>
      </c>
    </row>
    <row r="21" customFormat="false" ht="7.5" hidden="false" customHeight="true" outlineLevel="0" collapsed="false">
      <c r="J21" s="44"/>
    </row>
    <row r="22" customFormat="false" ht="19.5" hidden="false" customHeight="true" outlineLevel="0" collapsed="false">
      <c r="B22" s="19" t="s">
        <v>271</v>
      </c>
      <c r="C22" s="19"/>
      <c r="D22" s="19"/>
      <c r="E22" s="19"/>
      <c r="F22" s="19"/>
      <c r="G22" s="19"/>
      <c r="H22" s="19"/>
      <c r="I22" s="19"/>
      <c r="J22" s="19"/>
    </row>
    <row r="23" customFormat="false" ht="19.5" hidden="false" customHeight="true" outlineLevel="0" collapsed="false">
      <c r="B23" s="26"/>
      <c r="C23" s="88" t="s">
        <v>272</v>
      </c>
      <c r="D23" s="17" t="s">
        <v>36</v>
      </c>
      <c r="E23" s="17" t="s">
        <v>37</v>
      </c>
      <c r="F23" s="17" t="s">
        <v>38</v>
      </c>
      <c r="G23" s="17" t="s">
        <v>273</v>
      </c>
      <c r="H23" s="17" t="s">
        <v>274</v>
      </c>
      <c r="I23" s="17" t="s">
        <v>275</v>
      </c>
    </row>
    <row r="24" customFormat="false" ht="18" hidden="false" customHeight="true" outlineLevel="0" collapsed="false">
      <c r="B24" s="8" t="s">
        <v>276</v>
      </c>
      <c r="C24" s="89" t="s">
        <v>277</v>
      </c>
      <c r="D24" s="28" t="n">
        <f aca="false">'P&amp;L'!E7</f>
        <v>2359</v>
      </c>
      <c r="E24" s="28" t="n">
        <f aca="false">'P&amp;L'!F7</f>
        <v>2609.81</v>
      </c>
      <c r="F24" s="28" t="n">
        <f aca="false">'P&amp;L'!G7</f>
        <v>2941.2999</v>
      </c>
      <c r="G24" s="32" t="n">
        <f aca="false">F24*(1+0.11)</f>
        <v>3264.842889</v>
      </c>
      <c r="H24" s="32" t="n">
        <f aca="false">G24*(1+0.1)</f>
        <v>3591.3271779</v>
      </c>
      <c r="I24" s="32" t="n">
        <f aca="false">H24*(1+0.09)</f>
        <v>3914.546623911</v>
      </c>
    </row>
    <row r="25" customFormat="false" ht="18" hidden="false" customHeight="true" outlineLevel="0" collapsed="false">
      <c r="B25" s="8" t="s">
        <v>278</v>
      </c>
      <c r="C25" s="89" t="s">
        <v>279</v>
      </c>
      <c r="D25" s="28" t="n">
        <f aca="false">'P&amp;L'!E26</f>
        <v>755</v>
      </c>
      <c r="E25" s="28" t="n">
        <f aca="false">'P&amp;L'!F26</f>
        <v>871.88325</v>
      </c>
      <c r="F25" s="28" t="n">
        <f aca="false">'P&amp;L'!G26</f>
        <v>1061.292183</v>
      </c>
      <c r="G25" s="32" t="n">
        <f aca="false">G24*0.335</f>
        <v>1093.722367815</v>
      </c>
      <c r="H25" s="32" t="n">
        <f aca="false">H24*0.345</f>
        <v>1239.0078763755</v>
      </c>
      <c r="I25" s="32" t="n">
        <f aca="false">I24*0.35</f>
        <v>1370.09131836885</v>
      </c>
    </row>
    <row r="26" customFormat="false" ht="18" hidden="false" customHeight="true" outlineLevel="0" collapsed="false">
      <c r="B26" s="8" t="s">
        <v>280</v>
      </c>
      <c r="C26" s="89" t="s">
        <v>281</v>
      </c>
      <c r="D26" s="32" t="n">
        <f aca="false">-D25*Assumptions!E16</f>
        <v>-124.575</v>
      </c>
      <c r="E26" s="32" t="n">
        <f aca="false">-E25*Assumptions!F16</f>
        <v>-148.2201525</v>
      </c>
      <c r="F26" s="32" t="n">
        <f aca="false">-F25*Assumptions!G16</f>
        <v>-180.41967111</v>
      </c>
      <c r="G26" s="32" t="n">
        <f aca="false">-G25*Assumptions!G16</f>
        <v>-185.93280252855</v>
      </c>
      <c r="H26" s="32" t="n">
        <f aca="false">-H25*Assumptions!G16</f>
        <v>-210.631338983835</v>
      </c>
      <c r="I26" s="32" t="n">
        <f aca="false">-I25*Assumptions!G16</f>
        <v>-232.915524122705</v>
      </c>
    </row>
    <row r="27" customFormat="false" ht="18" hidden="false" customHeight="true" outlineLevel="0" collapsed="false">
      <c r="B27" s="8" t="s">
        <v>282</v>
      </c>
      <c r="C27" s="89" t="s">
        <v>283</v>
      </c>
      <c r="D27" s="28" t="n">
        <f aca="false">Assumptions!E17</f>
        <v>172</v>
      </c>
      <c r="E27" s="28" t="n">
        <f aca="false">Assumptions!F17</f>
        <v>188</v>
      </c>
      <c r="F27" s="28" t="n">
        <f aca="false">Assumptions!G17</f>
        <v>205</v>
      </c>
      <c r="G27" s="27" t="n">
        <v>220</v>
      </c>
      <c r="H27" s="27" t="n">
        <v>235</v>
      </c>
      <c r="I27" s="27" t="n">
        <v>250</v>
      </c>
    </row>
    <row r="28" customFormat="false" ht="18" hidden="false" customHeight="true" outlineLevel="0" collapsed="false">
      <c r="B28" s="8" t="s">
        <v>284</v>
      </c>
      <c r="C28" s="89" t="s">
        <v>285</v>
      </c>
      <c r="D28" s="28" t="n">
        <f aca="false">-Assumptions!E18</f>
        <v>-108</v>
      </c>
      <c r="E28" s="28" t="n">
        <f aca="false">-Assumptions!F18</f>
        <v>-120</v>
      </c>
      <c r="F28" s="28" t="n">
        <f aca="false">-Assumptions!G18</f>
        <v>-133</v>
      </c>
      <c r="G28" s="27" t="n">
        <v>-145</v>
      </c>
      <c r="H28" s="27" t="n">
        <v>-155</v>
      </c>
      <c r="I28" s="27" t="n">
        <v>-165</v>
      </c>
    </row>
    <row r="29" customFormat="false" ht="18" hidden="false" customHeight="true" outlineLevel="0" collapsed="false">
      <c r="B29" s="8" t="s">
        <v>286</v>
      </c>
      <c r="C29" s="89" t="s">
        <v>287</v>
      </c>
      <c r="D29" s="27" t="n">
        <v>-20</v>
      </c>
      <c r="E29" s="27" t="n">
        <v>-30</v>
      </c>
      <c r="F29" s="27" t="n">
        <v>-33</v>
      </c>
      <c r="G29" s="27" t="n">
        <v>-35</v>
      </c>
      <c r="H29" s="27" t="n">
        <v>-38</v>
      </c>
      <c r="I29" s="27" t="n">
        <v>-42</v>
      </c>
    </row>
    <row r="30" customFormat="false" ht="15" hidden="false" customHeight="true" outlineLevel="0" collapsed="false">
      <c r="B30" s="29" t="s">
        <v>288</v>
      </c>
      <c r="C30" s="90" t="s">
        <v>289</v>
      </c>
      <c r="D30" s="30" t="n">
        <f aca="false">D25+D26+D27+D28+D29</f>
        <v>674.425</v>
      </c>
      <c r="E30" s="30" t="n">
        <f aca="false">E25+E26+E27+E28+E29</f>
        <v>761.6630975</v>
      </c>
      <c r="F30" s="30" t="n">
        <f aca="false">F25+F26+F27+F28+F29</f>
        <v>919.87251189</v>
      </c>
      <c r="G30" s="30" t="n">
        <f aca="false">G25+G26+G27+G28+G29</f>
        <v>947.78956528645</v>
      </c>
      <c r="H30" s="30" t="n">
        <f aca="false">H25+H26+H27+H28+H29</f>
        <v>1070.37653739167</v>
      </c>
      <c r="I30" s="30" t="n">
        <f aca="false">I25+I26+I27+I28+I29</f>
        <v>1180.17579424615</v>
      </c>
      <c r="J30" s="33"/>
    </row>
    <row r="31" customFormat="false" ht="7.5" hidden="false" customHeight="true" outlineLevel="0" collapsed="false"/>
    <row r="32" customFormat="false" ht="18" hidden="false" customHeight="true" outlineLevel="0" collapsed="false">
      <c r="B32" s="8" t="s">
        <v>290</v>
      </c>
      <c r="D32" s="91" t="s">
        <v>291</v>
      </c>
      <c r="E32" s="92" t="n">
        <v>1</v>
      </c>
      <c r="F32" s="92" t="n">
        <v>2</v>
      </c>
      <c r="G32" s="92" t="n">
        <v>3</v>
      </c>
      <c r="H32" s="92" t="n">
        <v>4</v>
      </c>
      <c r="I32" s="92" t="n">
        <v>5</v>
      </c>
    </row>
    <row r="33" customFormat="false" ht="18" hidden="false" customHeight="true" outlineLevel="0" collapsed="false">
      <c r="B33" s="8" t="s">
        <v>292</v>
      </c>
      <c r="C33" s="89" t="s">
        <v>293</v>
      </c>
      <c r="D33" s="91" t="s">
        <v>294</v>
      </c>
      <c r="E33" s="93" t="n">
        <f aca="false">1/(1+$D$20)^1</f>
        <v>0.908344197735253</v>
      </c>
      <c r="F33" s="93" t="n">
        <f aca="false">1/(1+$D$20)^2</f>
        <v>0.825089181559301</v>
      </c>
      <c r="G33" s="93" t="n">
        <f aca="false">1/(1+$D$20)^3</f>
        <v>0.749464970683519</v>
      </c>
      <c r="H33" s="93" t="n">
        <f aca="false">1/(1+$D$20)^4</f>
        <v>0.680772157526196</v>
      </c>
      <c r="I33" s="93" t="n">
        <f aca="false">1/(1+$D$20)^5</f>
        <v>0.61837543926863</v>
      </c>
    </row>
    <row r="34" customFormat="false" ht="18" hidden="false" customHeight="true" outlineLevel="0" collapsed="false">
      <c r="B34" s="8" t="s">
        <v>295</v>
      </c>
      <c r="D34" s="91" t="s">
        <v>294</v>
      </c>
      <c r="E34" s="54" t="n">
        <f aca="false">E30*E33</f>
        <v>691.852255243185</v>
      </c>
      <c r="F34" s="54" t="n">
        <f aca="false">F30*F33</f>
        <v>758.976857974218</v>
      </c>
      <c r="G34" s="54" t="n">
        <f aca="false">G30*G33</f>
        <v>710.335078761555</v>
      </c>
      <c r="H34" s="54" t="n">
        <f aca="false">H30*H33</f>
        <v>728.682544725543</v>
      </c>
      <c r="I34" s="54" t="n">
        <f aca="false">I30*I33</f>
        <v>729.791725181165</v>
      </c>
    </row>
    <row r="35" customFormat="false" ht="7.5" hidden="false" customHeight="true" outlineLevel="0" collapsed="false"/>
    <row r="36" customFormat="false" ht="19.5" hidden="false" customHeight="true" outlineLevel="0" collapsed="false">
      <c r="B36" s="19" t="s">
        <v>296</v>
      </c>
      <c r="C36" s="19"/>
      <c r="D36" s="19"/>
      <c r="E36" s="19"/>
      <c r="F36" s="19"/>
      <c r="G36" s="19"/>
      <c r="H36" s="19"/>
      <c r="I36" s="19"/>
      <c r="J36" s="19"/>
    </row>
    <row r="37" customFormat="false" ht="18" hidden="false" customHeight="true" outlineLevel="0" collapsed="false">
      <c r="B37" s="8" t="s">
        <v>297</v>
      </c>
      <c r="D37" s="32" t="n">
        <f aca="false">SUM(E34:I34)</f>
        <v>3619.63846188567</v>
      </c>
      <c r="J37" s="21" t="s">
        <v>298</v>
      </c>
    </row>
    <row r="38" customFormat="false" ht="7.5" hidden="false" customHeight="true" outlineLevel="0" collapsed="false"/>
    <row r="39" customFormat="false" ht="18" hidden="false" customHeight="true" outlineLevel="0" collapsed="false">
      <c r="B39" s="26" t="s">
        <v>299</v>
      </c>
      <c r="D39" s="94" t="n">
        <v>0.03</v>
      </c>
      <c r="J39" s="21" t="s">
        <v>300</v>
      </c>
    </row>
    <row r="40" customFormat="false" ht="18" hidden="false" customHeight="true" outlineLevel="0" collapsed="false">
      <c r="B40" s="8" t="s">
        <v>301</v>
      </c>
      <c r="D40" s="32" t="n">
        <f aca="false">IFERROR(I30*(1+D39)/(D20-D39),0)</f>
        <v>17143.9770798029</v>
      </c>
      <c r="J40" s="21" t="s">
        <v>302</v>
      </c>
    </row>
    <row r="41" customFormat="false" ht="18" hidden="false" customHeight="true" outlineLevel="0" collapsed="false">
      <c r="B41" s="8" t="s">
        <v>303</v>
      </c>
      <c r="D41" s="32" t="n">
        <f aca="false">D40*I33</f>
        <v>10601.4143575344</v>
      </c>
      <c r="J41" s="21" t="s">
        <v>304</v>
      </c>
    </row>
    <row r="42" customFormat="false" ht="18" hidden="false" customHeight="true" outlineLevel="0" collapsed="false">
      <c r="B42" s="34" t="s">
        <v>305</v>
      </c>
      <c r="D42" s="95" t="n">
        <f aca="false">IFERROR(D41/(D37+D41),0)</f>
        <v>0.745473242533582</v>
      </c>
      <c r="J42" s="21" t="s">
        <v>306</v>
      </c>
    </row>
    <row r="43" customFormat="false" ht="7.5" hidden="false" customHeight="true" outlineLevel="0" collapsed="false"/>
    <row r="44" customFormat="false" ht="15" hidden="false" customHeight="true" outlineLevel="0" collapsed="false">
      <c r="B44" s="29" t="s">
        <v>307</v>
      </c>
      <c r="C44" s="33"/>
      <c r="D44" s="96" t="n">
        <f aca="false">D37+D41</f>
        <v>14221.0528194201</v>
      </c>
      <c r="E44" s="33"/>
    </row>
    <row r="45" customFormat="false" ht="18" hidden="false" customHeight="true" outlineLevel="0" collapsed="false">
      <c r="B45" s="8" t="s">
        <v>308</v>
      </c>
      <c r="D45" s="28" t="n">
        <f aca="false">Assumptions!E25</f>
        <v>2500</v>
      </c>
    </row>
    <row r="46" customFormat="false" ht="18" hidden="false" customHeight="true" outlineLevel="0" collapsed="false">
      <c r="B46" s="8" t="s">
        <v>309</v>
      </c>
      <c r="D46" s="28" t="n">
        <f aca="false">-Assumptions!E24</f>
        <v>-780</v>
      </c>
    </row>
    <row r="47" customFormat="false" ht="15" hidden="false" customHeight="true" outlineLevel="0" collapsed="false">
      <c r="B47" s="29" t="s">
        <v>310</v>
      </c>
      <c r="C47" s="33"/>
      <c r="D47" s="96" t="n">
        <f aca="false">D44+D45+D46</f>
        <v>15941.0528194201</v>
      </c>
      <c r="E47" s="33"/>
    </row>
    <row r="48" customFormat="false" ht="25.5" hidden="false" customHeight="true" outlineLevel="0" collapsed="false">
      <c r="B48" s="97" t="s">
        <v>311</v>
      </c>
      <c r="D48" s="98" t="n">
        <f aca="false">IFERROR(D47/Assumptions!E23,0)</f>
        <v>103.379071461868</v>
      </c>
    </row>
    <row r="49" customFormat="false" ht="18" hidden="false" customHeight="true" outlineLevel="0" collapsed="false">
      <c r="B49" s="34" t="s">
        <v>312</v>
      </c>
      <c r="D49" s="99" t="n">
        <f aca="false">Assumptions!E22</f>
        <v>185</v>
      </c>
    </row>
    <row r="50" customFormat="false" ht="18" hidden="false" customHeight="true" outlineLevel="0" collapsed="false">
      <c r="B50" s="8" t="s">
        <v>313</v>
      </c>
      <c r="D50" s="95" t="n">
        <f aca="false">IFERROR(D48/D49-1,0)</f>
        <v>-0.441194208314225</v>
      </c>
      <c r="J50" s="21" t="s">
        <v>314</v>
      </c>
    </row>
    <row r="51" customFormat="false" ht="7.5" hidden="false" customHeight="true" outlineLevel="0" collapsed="false"/>
    <row r="52" customFormat="false" ht="19.5" hidden="false" customHeight="true" outlineLevel="0" collapsed="false">
      <c r="B52" s="19" t="s">
        <v>315</v>
      </c>
      <c r="C52" s="19"/>
      <c r="D52" s="19"/>
      <c r="E52" s="19"/>
      <c r="F52" s="19"/>
      <c r="G52" s="19"/>
      <c r="H52" s="19"/>
      <c r="I52" s="19"/>
      <c r="J52" s="19"/>
    </row>
    <row r="53" customFormat="false" ht="27.75" hidden="false" customHeight="true" outlineLevel="0" collapsed="false">
      <c r="B53" s="100" t="s">
        <v>316</v>
      </c>
      <c r="C53" s="100"/>
      <c r="D53" s="100"/>
      <c r="E53" s="100"/>
      <c r="F53" s="100"/>
      <c r="G53" s="100"/>
      <c r="H53" s="100"/>
      <c r="I53" s="100"/>
      <c r="J53" s="100"/>
    </row>
    <row r="54" customFormat="false" ht="21.75" hidden="false" customHeight="true" outlineLevel="0" collapsed="false">
      <c r="B54" s="101" t="s">
        <v>317</v>
      </c>
      <c r="C54" s="102" t="n">
        <v>0.015</v>
      </c>
      <c r="D54" s="102" t="n">
        <v>0.02</v>
      </c>
      <c r="E54" s="102" t="n">
        <v>0.025</v>
      </c>
      <c r="F54" s="102" t="n">
        <v>0.03</v>
      </c>
      <c r="G54" s="102" t="n">
        <v>0.035</v>
      </c>
    </row>
    <row r="55" customFormat="false" ht="19.5" hidden="false" customHeight="true" outlineLevel="0" collapsed="false">
      <c r="B55" s="103" t="n">
        <v>0.08</v>
      </c>
      <c r="C55" s="104" t="n">
        <v>117.6</v>
      </c>
      <c r="D55" s="105" t="n">
        <v>124.8</v>
      </c>
      <c r="E55" s="105" t="n">
        <v>133.3</v>
      </c>
      <c r="F55" s="105" t="n">
        <v>143.6</v>
      </c>
      <c r="G55" s="106" t="n">
        <v>156.1</v>
      </c>
    </row>
    <row r="56" customFormat="false" ht="19.5" hidden="false" customHeight="true" outlineLevel="0" collapsed="false">
      <c r="B56" s="103" t="n">
        <v>0.085</v>
      </c>
      <c r="C56" s="104" t="n">
        <v>109.7</v>
      </c>
      <c r="D56" s="104" t="n">
        <v>115.8</v>
      </c>
      <c r="E56" s="107" t="n">
        <v>122.9</v>
      </c>
      <c r="F56" s="107" t="n">
        <v>131.2</v>
      </c>
      <c r="G56" s="107" t="n">
        <v>141.3</v>
      </c>
    </row>
    <row r="57" customFormat="false" ht="19.5" hidden="false" customHeight="true" outlineLevel="0" collapsed="false">
      <c r="B57" s="103" t="n">
        <v>0.09</v>
      </c>
      <c r="C57" s="104" t="n">
        <v>102.8</v>
      </c>
      <c r="D57" s="104" t="n">
        <v>108</v>
      </c>
      <c r="E57" s="104" t="n">
        <v>114</v>
      </c>
      <c r="F57" s="105" t="n">
        <v>120.9</v>
      </c>
      <c r="G57" s="105" t="n">
        <v>129.2</v>
      </c>
    </row>
    <row r="58" customFormat="false" ht="19.5" hidden="false" customHeight="true" outlineLevel="0" collapsed="false">
      <c r="B58" s="103" t="n">
        <v>0.095</v>
      </c>
      <c r="C58" s="104" t="n">
        <v>96.9</v>
      </c>
      <c r="D58" s="104" t="n">
        <v>101.3</v>
      </c>
      <c r="E58" s="104" t="n">
        <v>106.4</v>
      </c>
      <c r="F58" s="104" t="n">
        <v>112.2</v>
      </c>
      <c r="G58" s="104" t="n">
        <v>119.1</v>
      </c>
    </row>
    <row r="59" customFormat="false" ht="19.5" hidden="false" customHeight="true" outlineLevel="0" collapsed="false">
      <c r="B59" s="103" t="n">
        <v>0.1</v>
      </c>
      <c r="C59" s="104" t="n">
        <v>91.6</v>
      </c>
      <c r="D59" s="104" t="n">
        <v>95.4</v>
      </c>
      <c r="E59" s="104" t="n">
        <v>99.8</v>
      </c>
      <c r="F59" s="104" t="n">
        <v>104.8</v>
      </c>
      <c r="G59" s="104" t="n">
        <v>110.5</v>
      </c>
    </row>
    <row r="60" customFormat="false" ht="19.5" hidden="false" customHeight="true" outlineLevel="0" collapsed="false">
      <c r="B60" s="103" t="n">
        <v>0.105</v>
      </c>
      <c r="C60" s="104" t="n">
        <v>86.9</v>
      </c>
      <c r="D60" s="104" t="n">
        <v>90.3</v>
      </c>
      <c r="E60" s="104" t="n">
        <v>94</v>
      </c>
      <c r="F60" s="104" t="n">
        <v>98.3</v>
      </c>
      <c r="G60" s="104" t="n">
        <v>103.2</v>
      </c>
    </row>
    <row r="61" customFormat="false" ht="19.5" hidden="false" customHeight="true" outlineLevel="0" collapsed="false">
      <c r="B61" s="103" t="n">
        <v>0.11</v>
      </c>
      <c r="C61" s="104" t="n">
        <v>82.7</v>
      </c>
      <c r="D61" s="104" t="n">
        <v>85.7</v>
      </c>
      <c r="E61" s="104" t="n">
        <v>89</v>
      </c>
      <c r="F61" s="104" t="n">
        <v>92.7</v>
      </c>
      <c r="G61" s="104" t="n">
        <v>96.9</v>
      </c>
    </row>
    <row r="62" customFormat="false" ht="7.5" hidden="false" customHeight="true" outlineLevel="0" collapsed="false"/>
    <row r="63" customFormat="false" ht="27.75" hidden="false" customHeight="true" outlineLevel="0" collapsed="false">
      <c r="B63" s="100" t="s">
        <v>318</v>
      </c>
      <c r="C63" s="100"/>
      <c r="D63" s="100"/>
      <c r="E63" s="100"/>
      <c r="F63" s="100"/>
      <c r="G63" s="100"/>
      <c r="H63" s="100"/>
      <c r="I63" s="100"/>
      <c r="J63" s="100"/>
    </row>
  </sheetData>
  <mergeCells count="9">
    <mergeCell ref="B1:J1"/>
    <mergeCell ref="B2:J2"/>
    <mergeCell ref="B4:J4"/>
    <mergeCell ref="J20:J21"/>
    <mergeCell ref="B22:J22"/>
    <mergeCell ref="B36:J36"/>
    <mergeCell ref="B52:J52"/>
    <mergeCell ref="B53:J53"/>
    <mergeCell ref="B63:J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2026-03-04T05:56:34Z</dcterms:created>
  <dc:creator>openpyxl</dc:creator>
  <dc:description/>
  <dc:language>en-US</dc:language>
  <cp:lastModifiedBy/>
  <dcterms:modified xsi:type="dcterms:W3CDTF">2026-03-04T05:56:50Z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